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4635" windowHeight="4110" activeTab="0"/>
  </bookViews>
  <sheets>
    <sheet name="CDKT" sheetId="1" r:id="rId1"/>
    <sheet name="KQKD" sheetId="2" r:id="rId2"/>
    <sheet name="LCTT" sheetId="3" r:id="rId3"/>
    <sheet name="TMBCTC" sheetId="4" r:id="rId4"/>
  </sheets>
  <definedNames/>
  <calcPr fullCalcOnLoad="1"/>
</workbook>
</file>

<file path=xl/sharedStrings.xml><?xml version="1.0" encoding="utf-8"?>
<sst xmlns="http://schemas.openxmlformats.org/spreadsheetml/2006/main" count="1010" uniqueCount="717">
  <si>
    <t>Doanh nghieäp ñaõ chuyeån giao phaàn lôùn ruûi ro vaø lôïi ích gaén lieàn vôùi quyeàn sôû höõu saûn phaåm hoaëc haøng hoùa cho ngöôøi mua;</t>
  </si>
  <si>
    <t>Doanh nghieäp khoâng coøn naém giöõ quyeàn quaûn lyù haøng hoùa nhö ngöôøi sôû höõu haøng hoùa hoaëc quyeàn kieåm soaùt haøng hoùa;</t>
  </si>
  <si>
    <t>Doanh thu ñöôïc xaùc ñònh töông ñoái chaéc chaén;</t>
  </si>
  <si>
    <t>Doanh nghieäp ñaõ thu ñöôïc hoaëc seõ thu ñöôïc lôïi ích kinh teá töø giao dòch baùn haøng;</t>
  </si>
  <si>
    <t>Xaùc ñònh ñöôïc chi phí lieân quan ñeán giao dòch baùn haøng</t>
  </si>
  <si>
    <t>Nguyeân taéc ghi nhaän doanh thu cung caáp dòch vuï:</t>
  </si>
  <si>
    <t>Doanh thu ñöôïc xaùc ñònh töông ñoái chaéc chaén.</t>
  </si>
  <si>
    <t>Coù khaû naêng thu ñöôïc lôïi ích kinh teá töø giao dòch cung caáp dòch vuï ñoù.</t>
  </si>
  <si>
    <t>Xaùc ñònh ñöôïc phaàn coâng vieäc ñaõ hoaøn thaønh.</t>
  </si>
  <si>
    <t>Xaùc ñònh ñöôïc chi phí phaùt sinh vaø chi phí ñeå hoaøn thaønh giao dòch cung caáp dòch vuï ñoù.</t>
  </si>
  <si>
    <t>Nguyeân taéc ghi nhaän doanh thu hoaït ñoäng taøi chính:</t>
  </si>
  <si>
    <t>19.</t>
  </si>
  <si>
    <t>Nguyeân taéc ghi nhaän doanh thu, chi phí hôïp ñoàng xaây döïng:</t>
  </si>
  <si>
    <t>Tröôøng hôïp hôïp ñoàng xaây döïng quy ñònh nhaø thaàu ñöôïc thanh toaùn theo tieán ñoä keá hoaïch:</t>
  </si>
  <si>
    <t>Khi keát quaû thöïc hieän hôïp ñoàng xaây döïng ñöôïc öôùc tính moät caùch ñaùng tin caäy, thì doanh thu vaø chi phí lieân quan ñeán hôïp ñoàng ñöôïc ghi nhaän töông öùng vôùi phaàn coâng vieäc ñaõ hoaøn thaønh do nhaø thaàu töï xaùc ñònh vaøo ngaøy laäp baùo caùo taøi chính maø khoâng phuï thuoäc vaøo hoùa ñôn thanh toaùn theo tieán ñoä keá hoaïch ñaõ laäp hay chöa vaø soá tieàn ghi treân hoùa ñôn laø bao nhieâu.</t>
  </si>
  <si>
    <t>Tröôøng hôïp hôïp ñoàng xaây döïng quy ñònh nhaø thaàu ñöôïc thanh toaùn theo giaù trò khoái löôïng thöïc hieän:</t>
  </si>
  <si>
    <t>Khi keát quaû thöïc hieän hôïp ñoàng xaây döïng ñöôïc xaùc ñònh moät caùch ñaùng tin caäy vaø ñöôïc khaùch haøng xaùc nhaän, thì doanh thu vaø chi phí lieân quan ñeán hôïp ñoàng ñöôïc ghi nhaän töông öùng vôùi phaàn coâng vieäc ñaõ hoaøn thaønh ñöôïc khaùch haøng xaùc nhaän trong kyø ñöôïc phaûn aùnh treân hoùa ñôn ñaõ laäp.</t>
  </si>
  <si>
    <t>Caùc beân lieân quan:</t>
  </si>
  <si>
    <t>Caùc beân ñöôïc coi laø lieân quan neáu moät beân coù khaû naêng kieåm soaùt hoaëc coù aûnh höôûng ñaùng keå ñoái vôùi beân kia trong vieäc ra quyeát ñònh taøi chính vaø hoaït ñoäng</t>
  </si>
  <si>
    <t>Taùi phaân loaïi:</t>
  </si>
  <si>
    <t>Moät soá taøi kho¶n trong baùo caùo taøi chính cuûa naêm 2005 ñaõ ñöôïc taùi phaân loïai cho phuø hôïp vôùi söï trình baøy trong naêm 2006 theo TT23/2005/TT-BTC cuûa Boä taøi chính ngaøy 30/03/2005.</t>
  </si>
  <si>
    <t xml:space="preserve">9.      </t>
  </si>
  <si>
    <t>C¸c nghÜa vô vÒ thuÕ;</t>
  </si>
  <si>
    <t>ThuÕ suÊt thuÕ GTGT hµng b¸n ra chÞu møc thuÕ suÊt 5% vµ 10%.</t>
  </si>
  <si>
    <t>ThuÕ thu nhËp doanh nghiÖp hµng n¨m b»ng 28% lîi nhuËn thu ®­îc.</t>
  </si>
  <si>
    <t>C¸c lo¹i thuÕ kh¸c theo quy ®Þnh hiÖn hµnh cña Ph¸p luËt ViÖt Nam t¹i thêi ®iÓm nép thuÕ hµng n¨m.</t>
  </si>
  <si>
    <t>V.</t>
  </si>
  <si>
    <t>THOÂNG TIN BOÅ SUNG CHO CAÙC KHOAÛN MUÏC TRÌNH BAØY TRONG BAÛNG CAÂN ÑOÁI KEÁ TOAÙN VAØ BAÙO CAÙO KEÁT QUAÛ HOAÏT ÑOÄNG KINH DOANH.</t>
  </si>
  <si>
    <t xml:space="preserve">Tieàn vaø caùc khoaûn töông töông tieàn </t>
  </si>
  <si>
    <t>TiÒn mÆt t¹i quü</t>
  </si>
  <si>
    <t>TiÒn göi ng©n hµng</t>
  </si>
  <si>
    <t>Tieàn ñang chuyeån</t>
  </si>
  <si>
    <t>Caùc khoaûn töông ñöông tieàn</t>
  </si>
  <si>
    <t>TiÒn ®ang chuyÓn</t>
  </si>
  <si>
    <t>Tæng céng</t>
  </si>
  <si>
    <t>C¸c kho¶n ®Çu t­ tµi chÝnh ng¾n h¹n</t>
  </si>
  <si>
    <t>Chøng kho¸n ®Çu t­ ng¾n h¹n</t>
  </si>
  <si>
    <t>§Çu t­ ng¾n h¹n kh¸c</t>
  </si>
  <si>
    <t>Dù phßng gi¶m gi¸ ®Çu t­ ng¾n h¹n</t>
  </si>
  <si>
    <t>C¸c kho¶n ph¶i thu ng¾n h¹n kh¸c</t>
  </si>
  <si>
    <t>Ph¶i thu cña kh¸ch hµng</t>
  </si>
  <si>
    <t>Tr¶ tr­íc cho ng­êi b¸n</t>
  </si>
  <si>
    <t>Phaûi thu noäi boä</t>
  </si>
  <si>
    <t>Phaûi thu theo tieán ñoä hôïp ñoàng xaây döïng</t>
  </si>
  <si>
    <t>C¸c kho¶n ph¶i thu kh¸c</t>
  </si>
  <si>
    <t>Taïm öùng</t>
  </si>
  <si>
    <t>Chi phÝ tr¶ tr­íc</t>
  </si>
  <si>
    <t>Dù phßng ph¶i thu khã ®ßi</t>
  </si>
  <si>
    <t>Haøng toàn kho</t>
  </si>
  <si>
    <t>Haøng mua ñang ñi treân ñöôøng</t>
  </si>
  <si>
    <t>Nguyeân lieäu, vaät lieäu</t>
  </si>
  <si>
    <t>Coâng cuï, duïng cuï</t>
  </si>
  <si>
    <t>Chi phí saûn xuaát kinh doanh dôû dang</t>
  </si>
  <si>
    <t>Thaønh phaåm</t>
  </si>
  <si>
    <t>Haøng göûi ñi baøn</t>
  </si>
  <si>
    <t>Coäng giaù goác haøng toàn kho</t>
  </si>
  <si>
    <t>Döï phoøng giaûm giaù haøng toàn kho</t>
  </si>
  <si>
    <t>Giaù trò thuaàn coù theå thöïc hieän ñöôïc</t>
  </si>
  <si>
    <t>* Giaù trò hoaøn nhaäp giaûm giaù haøng toàn kho trong naêm</t>
  </si>
  <si>
    <t>* Giaù trò haøng toàn kho duøng ñeå theá chaáp cho caùc khoaûn nôï</t>
  </si>
  <si>
    <t>* Lyù do trích theâm hoaëc hoaøn nhaäp döï phoøng giaûm giaù haøng toàn kho</t>
  </si>
  <si>
    <t>Caùc khoaûn thueá phaûi thu</t>
  </si>
  <si>
    <t>Chi phÝ tr¶ tr­íc ng¾n h¹n</t>
  </si>
  <si>
    <t>Thueá giaù trò gia taêng coøn ñöôïc khaáu tröø</t>
  </si>
  <si>
    <t>Thueá thu nhaäp doanh nghieäp</t>
  </si>
  <si>
    <t>Thueá khaùc</t>
  </si>
  <si>
    <t>Tµi s¶n ng¾n h¹nh kh¸c</t>
  </si>
  <si>
    <t>Toång coäng</t>
  </si>
  <si>
    <t>Ph¶i thu dµi h¹n néi bé</t>
  </si>
  <si>
    <t>Phaûi thu daøi haïn khaùch haøng</t>
  </si>
  <si>
    <t>Phaûi thu daøi haïn khaùc</t>
  </si>
  <si>
    <t>Döï phoøng phaûi thu daøi haïn khoù ñoøi</t>
  </si>
  <si>
    <t>Ph¶i tr¶ dµi h¹n kh¸c</t>
  </si>
  <si>
    <t>Ký quü , ký c­îc dµi h¹n</t>
  </si>
  <si>
    <t>C¸c kho¶n tiÒn nhËn uû th¸c</t>
  </si>
  <si>
    <t>Tình hình taêng giaûm taøi saûn coá ñònh höõu hình</t>
  </si>
  <si>
    <t>Kho¶n môc</t>
  </si>
  <si>
    <t>Nhaø cöûa</t>
  </si>
  <si>
    <t>Maùy moùc
thieát bò</t>
  </si>
  <si>
    <t>Phöông tieän
vaän taûi</t>
  </si>
  <si>
    <t>Thieát bò
quaûn lyù</t>
  </si>
  <si>
    <t>TSCĐ vô hình</t>
  </si>
  <si>
    <t>NGUYEÂN GIAÙ</t>
  </si>
  <si>
    <t>Soá ñaàu naêm</t>
  </si>
  <si>
    <t>Taêng trong kyø</t>
  </si>
  <si>
    <t>Mua trong kyø</t>
  </si>
  <si>
    <t>Ñaàu tö XDCB</t>
  </si>
  <si>
    <t>Taêng khaùc</t>
  </si>
  <si>
    <t>Giaûm trong kyø</t>
  </si>
  <si>
    <t>Chuyeån sang BÑS ĐT</t>
  </si>
  <si>
    <t xml:space="preserve">Thanh lyù </t>
  </si>
  <si>
    <t>Giaûm khaùc</t>
  </si>
  <si>
    <t>Soá dö cuoái naêm</t>
  </si>
  <si>
    <t>HAO MOØN LUÕY KEÁ</t>
  </si>
  <si>
    <t>Soá dö ñaàu naêm</t>
  </si>
  <si>
    <t>Chuyeån sang BÑSÑT</t>
  </si>
  <si>
    <t>Thanh lyù</t>
  </si>
  <si>
    <t>Gi¸ trÞ cßn l¹i</t>
  </si>
  <si>
    <t>Soá cuoái kyø</t>
  </si>
  <si>
    <t>* Giaù trò coøn laïi cuoái naêm cuûa TSCD höõu hình ñaõ duøng theá chaáp, caàm coá caùc khoaûn vay.</t>
  </si>
  <si>
    <t>* Nguyeân giaù TSCD cuoái naêm ñaõ khaáu hao heát nhöng vaãn coøn söû duïng.</t>
  </si>
  <si>
    <t>* Nguyeân giaù TSCD cuoái naêm chôø thanh lyù.</t>
  </si>
  <si>
    <t>* Caùc cam keát veà vieäc mua, baùn TSCÑ höõu hình coù giaù trò lôùn chöa thöïc hieän.</t>
  </si>
  <si>
    <t>Tình hình taêng giaûm taøi saûn coá ñònh thueâ taøi chính (TSCÑ thueâ TC)</t>
  </si>
  <si>
    <t>Chæ tieâu</t>
  </si>
  <si>
    <t>Khaùc</t>
  </si>
  <si>
    <t>Thueâ TC trong naêm</t>
  </si>
  <si>
    <t>Mua laïi TSCÑ thueâ TC</t>
  </si>
  <si>
    <t>Traû laïi TSCÑ thueâ TC</t>
  </si>
  <si>
    <t>Khaáu hao trong naêm</t>
  </si>
  <si>
    <t>Giaûm trong naêm</t>
  </si>
  <si>
    <t>GIAÙ TRÒ COØN LAÏI</t>
  </si>
  <si>
    <t>* Tieàn thueâ phaùt sinh theâm ñöôïc ghi nhaän laø chi phí trong naêm.</t>
  </si>
  <si>
    <t>* Caên cöù ñeå xaùc ñònh tieàn thueâ phaùt sinh theâm.</t>
  </si>
  <si>
    <t>* Ñieàu khoaûn gia haïn thueâ hoaëc quyeàn ñöôïc mua taøi saûn.</t>
  </si>
  <si>
    <t>Tình hình taêng giaûm taøi saûn coá ñònh voâ hình</t>
  </si>
  <si>
    <t>Quyeàn söû duïng ñaát</t>
  </si>
  <si>
    <t>Baûn quyeàn
Baèng saùng cheá</t>
  </si>
  <si>
    <t>Nhaün hieäu haøng hoaù</t>
  </si>
  <si>
    <t>Phaàn meàm maùy vi tính</t>
  </si>
  <si>
    <t>Taïo ra töø noäi boä DN</t>
  </si>
  <si>
    <t>Taêng do hôïp nhaát KD</t>
  </si>
  <si>
    <t>Thanh lyù, nhöôïng baùn</t>
  </si>
  <si>
    <t>Chi phí xaây döïng cô baûn dôû dang</t>
  </si>
  <si>
    <t>Mua saém maùy moùc thieát bò</t>
  </si>
  <si>
    <t>Taêng giaûm baát ñoäng saûn ñaàu tö</t>
  </si>
  <si>
    <t>Taêng trong naêm</t>
  </si>
  <si>
    <t>Soá cuoái naêm</t>
  </si>
  <si>
    <t>Nhaø</t>
  </si>
  <si>
    <t>Nhaø vaø quyeàn söû duïng ñaát</t>
  </si>
  <si>
    <t>HAO MOØN LUYÕ KEÁ</t>
  </si>
  <si>
    <t>C¸c kho¶n ®Çu t­ tµi chÝnh dµi h¹n</t>
  </si>
  <si>
    <t>Ñaàu tö taøi chính ngaén haïn</t>
  </si>
  <si>
    <t>Ñaàu tö vaøo coâng ty con</t>
  </si>
  <si>
    <t>Ñaàu tö vaøo coâng ty lieân keát</t>
  </si>
  <si>
    <t>Ñaàu tö vaøo cô sôû kinh doanh ñoàng kieåm soaùt</t>
  </si>
  <si>
    <t>§Çu t­ vµo c«ng ty con</t>
  </si>
  <si>
    <t>Cho vay daøi haïn</t>
  </si>
  <si>
    <t>Ñaàu tö daøi haïn khaùc</t>
  </si>
  <si>
    <t>Döï phoøng giaûm giaù ñaàu tö ngaén haïn</t>
  </si>
  <si>
    <t>Giaù trò thuaàn cuûa ñaàu tö taøi chính daøi haïn</t>
  </si>
  <si>
    <t>* Danh saùch caùc coâng ty con, coâng ty lieân keát, lieân doanh quan troïng.</t>
  </si>
  <si>
    <t>Chi phí traû tröôùc daøi haïn</t>
  </si>
  <si>
    <t>Tµi s¶n dµi h¹n kh¸c</t>
  </si>
  <si>
    <t>Ñaõ keát chuyeån vaøo CP SXKD trong naêm</t>
  </si>
  <si>
    <t>Vay vµ nî ng¾n h¹n</t>
  </si>
  <si>
    <t>Vay ng¾n h¹n ng©n hàng</t>
  </si>
  <si>
    <t>Vay daøi haïn ñeán haïn traû</t>
  </si>
  <si>
    <t>Nôï thueâ taøi chính ñeán haïn traû</t>
  </si>
  <si>
    <t>Traùi phieáu phaùt haønh ñeán haïn traû</t>
  </si>
  <si>
    <t>Theo caùc hôïp ñoàng sau:</t>
  </si>
  <si>
    <t>Teân ngaân haøng</t>
  </si>
  <si>
    <t>Thôøi haïn vay
vaø ngaøy ñaùo haïn</t>
  </si>
  <si>
    <t>Laõi suaát</t>
  </si>
  <si>
    <t>Hình thöùc ñaûm baûo</t>
  </si>
  <si>
    <t>ThuÕ vµ c¸c kho¶n ph¶i nép cho Nhµ n­íc</t>
  </si>
  <si>
    <t>ThuÕ GTGT hµng b¸n néi ®Þa</t>
  </si>
  <si>
    <t>ThuÕ tiªu thô ®Æc biÖt</t>
  </si>
  <si>
    <t>ThuÕ xuÊt, nhËp khÈu</t>
  </si>
  <si>
    <t>ThuÕ thu nhËp doanh nghiÖp</t>
  </si>
  <si>
    <t>ThuÕ tµi nguyªn</t>
  </si>
  <si>
    <t>ThuÕ doanh thu</t>
  </si>
  <si>
    <t>TiÒn thuª ®Êt</t>
  </si>
  <si>
    <t>ThuÕ m«n bµi, c¸c thuÕ kh¸c</t>
  </si>
  <si>
    <t>Chi phí phaûi traû</t>
  </si>
  <si>
    <t>Quyõ döï phoøng trôï caáp maát vieäc laøm</t>
  </si>
  <si>
    <t>18.</t>
  </si>
  <si>
    <t>Caùc khoaûn phaûi traû, phaûi noäp khaùc</t>
  </si>
  <si>
    <t>Kinh phÝ c«ng ®oµn</t>
  </si>
  <si>
    <t>BHXH, BHYT</t>
  </si>
  <si>
    <t>Phải trả phải nộp khac</t>
  </si>
  <si>
    <t>Phaûi traû daøi haïn noäi boä</t>
  </si>
  <si>
    <t>Phaûi traû daøi haïn noäi boä veà caáp voán</t>
  </si>
  <si>
    <t>Vay daøi haïn noäi boä</t>
  </si>
  <si>
    <t>Phaûi traû daøi haïn noäi boä khaùc</t>
  </si>
  <si>
    <t>20.</t>
  </si>
  <si>
    <t>Caùc khoaûn vay vaø nôï daøi haïn</t>
  </si>
  <si>
    <t>Vay ngaân haøng</t>
  </si>
  <si>
    <t>Vay ñoái töôïng khaùc ( TCT SD)</t>
  </si>
  <si>
    <t>Nôï daøi haïn</t>
  </si>
  <si>
    <t>Thueâ taøi chính</t>
  </si>
  <si>
    <t>Traùi phieáu phaùt haønh</t>
  </si>
  <si>
    <t>Nôï daøi haïn khaùc</t>
  </si>
  <si>
    <t>Ngan hàng ĐT Gia Lai</t>
  </si>
  <si>
    <t>Bao lanh TCT</t>
  </si>
  <si>
    <t>Caùc khoaûn nôï thueâ taøi chính</t>
  </si>
  <si>
    <t>Naêm nay</t>
  </si>
  <si>
    <t>Naêm tröôùc</t>
  </si>
  <si>
    <t>Coäng</t>
  </si>
  <si>
    <t>Traû laõi 
thueâ</t>
  </si>
  <si>
    <t>Traû nôï goác</t>
  </si>
  <si>
    <t>Döôùi 1 naêm</t>
  </si>
  <si>
    <t>Töø 1 - 5 naêm</t>
  </si>
  <si>
    <t>Treân 5 naêm</t>
  </si>
  <si>
    <t>21.</t>
  </si>
  <si>
    <t>Tµi s¶n thuÕ thu nhËp doanh nghiÖp ho·n l¹i vµ thuÕ TNDN ho·n l¹i ph¶i tr¶</t>
  </si>
  <si>
    <t>22.</t>
  </si>
  <si>
    <t xml:space="preserve"> Vèn chñ së h÷u</t>
  </si>
  <si>
    <t>Vèn ®Çu t­ cña chñ së h÷u</t>
  </si>
  <si>
    <t>ThÆng d­ vèn cæ phÇn</t>
  </si>
  <si>
    <t>Vèn kh¸c cña chñ së h÷u</t>
  </si>
  <si>
    <t>Cæ phiÕu quü ng©n quü</t>
  </si>
  <si>
    <t>Chªnh lÖch ®¸nh gi¸ l¹i tµi s¶n</t>
  </si>
  <si>
    <t>Chªnh lÖch tû gi¸ hèi ®o¸i</t>
  </si>
  <si>
    <t>Quü ®Çu t­ ph¸t triÓn</t>
  </si>
  <si>
    <t>Quü dù phßng tµi chÝnh</t>
  </si>
  <si>
    <t>Quü kh¸c thuéc vèn chñ së h÷u</t>
  </si>
  <si>
    <t>Lîi nhuËn sau thuÕ ch­a ph©n phèi</t>
  </si>
  <si>
    <t>Nguån vèn ®Çu t­ XDCB</t>
  </si>
  <si>
    <t>23.</t>
  </si>
  <si>
    <t>Nguoàn kinh phí</t>
  </si>
  <si>
    <t>Quü khen th­ëng phóc lîi</t>
  </si>
  <si>
    <t>Nguoàn kinh phí ñöôïc caáp trong naêm</t>
  </si>
  <si>
    <t>Chi söï nghieäp</t>
  </si>
  <si>
    <t>24.</t>
  </si>
  <si>
    <t>Taøi saûn thueâ ngoaøi</t>
  </si>
  <si>
    <t>Giaù trò taøi saûn thueâ ngoaøi</t>
  </si>
  <si>
    <t>TSCÑ thueâ ngoaøi</t>
  </si>
  <si>
    <t>Taøi saûn khaùc thueâ ngoaøi</t>
  </si>
  <si>
    <t>Toång soá tieàn thueâ toái thieåu trong töông lai cuûa hôïp ñoàng thueâ hoaït ñoäng TSCÑ khoâng huyû ngang theo caùc thôøi haïn:</t>
  </si>
  <si>
    <t>Ñeán 1 naêm</t>
  </si>
  <si>
    <t>Treân 1 - 5 naêm</t>
  </si>
  <si>
    <t xml:space="preserve">V.I </t>
  </si>
  <si>
    <t>Th«ng tin bæ sung cho c¸c kho¶n môc tr×nh bµy trong b¸o c¸o kÕt qu¶ kinh doanh</t>
  </si>
  <si>
    <t>25.</t>
  </si>
  <si>
    <t>Doanh thu</t>
  </si>
  <si>
    <t>Doanh thu baùn haøng vaø cung caáp dòch vuï</t>
  </si>
  <si>
    <t>N¨m  nay</t>
  </si>
  <si>
    <t>Toång doanh thu</t>
  </si>
  <si>
    <t>Doanh thu baùn haøng</t>
  </si>
  <si>
    <t>Doanh thu cung caáp dòch vuï</t>
  </si>
  <si>
    <t>26.</t>
  </si>
  <si>
    <t>Caùc khoaûn giaûm tröø doanh thu:</t>
  </si>
  <si>
    <t>Chieát khaáu thöông maïi</t>
  </si>
  <si>
    <t>Giaûm giaù haøng baùn</t>
  </si>
  <si>
    <t>Haøng baùn bò traû laïi</t>
  </si>
  <si>
    <t>Thueá GTGT phaûi noäp (Phöông phaùp tröïc tíeâp)</t>
  </si>
  <si>
    <t>Thueá tieâu thuï ñaëc bieät</t>
  </si>
  <si>
    <t>Thueá xuaát khaåu</t>
  </si>
  <si>
    <t>27.</t>
  </si>
  <si>
    <t>Doanh thu thuaàn</t>
  </si>
  <si>
    <t>Doanh thu thuaàn trao ñoåi haøng hoaù</t>
  </si>
  <si>
    <t>Doanh thu thuaàn trao ñoåi dòch vuï</t>
  </si>
  <si>
    <t>28.</t>
  </si>
  <si>
    <t>Giaù voán haøng baùn</t>
  </si>
  <si>
    <t>Giaù voán cuûa thaønh phaåm ñaõ cung caáp</t>
  </si>
  <si>
    <t>Giaù voán cuûa haøng hoaù ñaõ cung caáp</t>
  </si>
  <si>
    <t>Dù phßng gi¶m gi¸ hµng tån kho</t>
  </si>
  <si>
    <t>Giaù voán cuûa dòch vuï ñaõ cung caáp</t>
  </si>
  <si>
    <t>Doanh thu hoaït ñoäng taøi chính khaùc</t>
  </si>
  <si>
    <t>29.</t>
  </si>
  <si>
    <t>Doanh thu hoaït ñoäng taøi chính</t>
  </si>
  <si>
    <t>Laõi tieàn göûi, tieàn cho vay</t>
  </si>
  <si>
    <t>Laõi ñaàu tö traùi phieáu, kyø phieáu, tín phieáu</t>
  </si>
  <si>
    <t>Coå töùc, lôïi nhuaän ñöôïc chia</t>
  </si>
  <si>
    <t>Laõi baùn ngoaïi teä</t>
  </si>
  <si>
    <t>Laõi, loã cheânh leäch tyû giaù</t>
  </si>
  <si>
    <t>Laõi baùn haøng traû chaäm</t>
  </si>
  <si>
    <t>30.</t>
  </si>
  <si>
    <t>Chi phí taøi chính</t>
  </si>
  <si>
    <t>Chi phí hoaït ñoäng taøi chính</t>
  </si>
  <si>
    <t>Loã do thanh toaùn caùc khoaûn ñaàu tö ngaén haïn</t>
  </si>
  <si>
    <t>Loã phaùt sinh khi baùn ngoaïi teä</t>
  </si>
  <si>
    <t>31.</t>
  </si>
  <si>
    <t xml:space="preserve">Chi phÝ thuÕ thu nhËp doanh nghiÖp hiÖn hµnh </t>
  </si>
  <si>
    <t>32.</t>
  </si>
  <si>
    <t>Chi phÝ thuÕ thu nhËp doanh nghiÖp ho·n l¹i</t>
  </si>
  <si>
    <t>33.</t>
  </si>
  <si>
    <t>Chi phí saûn xuaát kinh doanh theo yeáu toá</t>
  </si>
  <si>
    <t>Chi phí nguyeân lieäu, vaät lieäu</t>
  </si>
  <si>
    <t>Chi phí nhaân coâng</t>
  </si>
  <si>
    <t>Chi phí khaáu hao taøi saûn coá ñònh</t>
  </si>
  <si>
    <t>Chi phí dòch vuï mua ngoaøi</t>
  </si>
  <si>
    <t>Chi phí baèng tieàn khaùc</t>
  </si>
  <si>
    <t>VII.</t>
  </si>
  <si>
    <t>Th«ng tin bæ sung cho c¸c kho¶n môc tr×nh bµy trong b¸o c¸o l­u chuyÓn tiÒn tÖ</t>
  </si>
  <si>
    <t>VIII.</t>
  </si>
  <si>
    <t>Nhøng t«ng tin kh¸c</t>
  </si>
  <si>
    <t>LËp ngµy 20 th¸ng 7 n¨m 2007</t>
  </si>
  <si>
    <t>Keá toaùn tröôûng</t>
  </si>
  <si>
    <t>Tæng gi¸m ®èc</t>
  </si>
  <si>
    <t>Tæng c«ng ty S«ng §µ</t>
  </si>
  <si>
    <t>C«ng ty cæ phÇn S«ng §µ 5</t>
  </si>
  <si>
    <t>§Õn ngµy 30 th¸ng 6 n¨m 2007</t>
  </si>
  <si>
    <t>Tµi s¶n</t>
  </si>
  <si>
    <t>M· sè</t>
  </si>
  <si>
    <t>ThuyÕt minh</t>
  </si>
  <si>
    <t>Sè cuèi kú</t>
  </si>
  <si>
    <t>Sè ®Çu n¨m</t>
  </si>
  <si>
    <t>A. Tµi s¶n ng¾n h¹n (100=110+120+130+140+150)</t>
  </si>
  <si>
    <t xml:space="preserve">  I. TiÒn vµ c¸c kho¶n t­¬ng ®­¬ng tiÒn</t>
  </si>
  <si>
    <t xml:space="preserve">    1. TiÒn </t>
  </si>
  <si>
    <t>V.01</t>
  </si>
  <si>
    <t xml:space="preserve">    2. C¸c kho¶n t­¬ng ®­¬ng tiÒn</t>
  </si>
  <si>
    <t xml:space="preserve">  II. C¸c kho¶n ®Çu t­ tµi chÝnh ng¾n h¹n</t>
  </si>
  <si>
    <t>V.02</t>
  </si>
  <si>
    <t xml:space="preserve">    1. §Çu t­ ng¾n h¹n</t>
  </si>
  <si>
    <t xml:space="preserve">    2. Dù phßng gi¶m gi¸ chøng kho¸n ®Çu t­ ng¾n h¹n </t>
  </si>
  <si>
    <t xml:space="preserve">  III. C¸c kho¶n ph¶i thu ng¾n h¹n</t>
  </si>
  <si>
    <t xml:space="preserve">    1. Ph¶i thu cña kh¸ch hµng</t>
  </si>
  <si>
    <t xml:space="preserve">    2. Tr¶ tr­íc cho ng­êi b¸n</t>
  </si>
  <si>
    <t xml:space="preserve">    3. Ph¶i thu néi bé </t>
  </si>
  <si>
    <t xml:space="preserve">    4. Ph¶i thu theo tiÕn ®é kÕ ho¹ch hîp ®ång x©y dùng</t>
  </si>
  <si>
    <t xml:space="preserve">    5. C¸c kho¶n ph¶i thu kh¸c </t>
  </si>
  <si>
    <t>V.03</t>
  </si>
  <si>
    <t xml:space="preserve">    6. Dù phßng c¸c kho¶n ph¶i thu khã ®ßi </t>
  </si>
  <si>
    <t xml:space="preserve">  IV. Hµng tån kho</t>
  </si>
  <si>
    <t xml:space="preserve">    1. Hµng tån kho </t>
  </si>
  <si>
    <t>V.04</t>
  </si>
  <si>
    <t xml:space="preserve">    2. Dù phßng gi¶m gi¸ hµng tån kho </t>
  </si>
  <si>
    <t xml:space="preserve">  V. Tµi s¶n ng¾n h¹n kh¸c</t>
  </si>
  <si>
    <t xml:space="preserve">    1. Chi phÝ tr¶ tr­íc ng¾n h¹n</t>
  </si>
  <si>
    <t xml:space="preserve">    2. ThuÕ GTGT ®­îc khÊu trõ</t>
  </si>
  <si>
    <t>V.05</t>
  </si>
  <si>
    <t xml:space="preserve">    2. ThuÕ vµ c¸c kho¶n kh¸c ph¸i thu cña Nhµ n­íc</t>
  </si>
  <si>
    <t xml:space="preserve">    3. Tµi s¶n ng¾n h¹n kh¸c</t>
  </si>
  <si>
    <t>B. Tµi s¶n dµi h¹n (200=210+220+240+250+260)</t>
  </si>
  <si>
    <t xml:space="preserve">   I. C¸c kho¶n ph¶i thu dµi h¹n</t>
  </si>
  <si>
    <t xml:space="preserve">   1. Ph¶i thu dµi h¹n cña kh¸ch hµng</t>
  </si>
  <si>
    <t xml:space="preserve">   2. Ph¶i thu dµi h¹n néi bé</t>
  </si>
  <si>
    <t>V.06</t>
  </si>
  <si>
    <t xml:space="preserve">   3. Ph¶i thu dµi h¹n kh¸c</t>
  </si>
  <si>
    <t>V.07</t>
  </si>
  <si>
    <t xml:space="preserve">   4. Dù phßng ph¶i thu dµi h¹n khã ®ßi</t>
  </si>
  <si>
    <t xml:space="preserve">  II. Tµi s¶n cè ®Þnh</t>
  </si>
  <si>
    <t xml:space="preserve">    1. Tµi s¶n cè ®Þnh h÷u h×nh</t>
  </si>
  <si>
    <t>V.08</t>
  </si>
  <si>
    <t xml:space="preserve">      - Nguyªn gi¸</t>
  </si>
  <si>
    <t xml:space="preserve">      - Gi¸ trÞ hao mßn lòy kÕ (*)</t>
  </si>
  <si>
    <t xml:space="preserve">    2. Tµi s¶n cè ®Þnh thuª tµi chÝnh</t>
  </si>
  <si>
    <t>V.09</t>
  </si>
  <si>
    <t xml:space="preserve">      - Gi¸ trÞ hao  mßn lòy kÕ (*)</t>
  </si>
  <si>
    <t xml:space="preserve">    3. Tµi s¶n cè ®Þnh v« h×nh</t>
  </si>
  <si>
    <t>V.10</t>
  </si>
  <si>
    <t xml:space="preserve">   4. Chi phÝ x©y dùng c¬ b¶n dë dang</t>
  </si>
  <si>
    <t>V.11</t>
  </si>
  <si>
    <t xml:space="preserve">   III. BÊt ®éng s¶n ®Çu t­</t>
  </si>
  <si>
    <t>V.12</t>
  </si>
  <si>
    <t xml:space="preserve">  IV. C¸c kho¶n ®Çu t­ tµi chÝnh dµi h¹n</t>
  </si>
  <si>
    <t xml:space="preserve">    1. §Çu t­ vµo c«ng ty con</t>
  </si>
  <si>
    <t xml:space="preserve">    2. §Çu t­ vµo c«ng ty liªn kÕt, liªn doanh</t>
  </si>
  <si>
    <t xml:space="preserve">    3. §Çu t­ dµi h¹n kh¸c</t>
  </si>
  <si>
    <t>V.13</t>
  </si>
  <si>
    <t xml:space="preserve">    4. Dù phßng gi¶m gi¸ chøng kho¸n ®Çu t­ dµi h¹n </t>
  </si>
  <si>
    <t xml:space="preserve"> V. Lîi thÕ th­¬ng m¹i</t>
  </si>
  <si>
    <t xml:space="preserve">  VI. Tµi s¶n dµi h¹n kh¸c</t>
  </si>
  <si>
    <t xml:space="preserve">   1. Chi phÝ tr¶ tr­íc dµi h¹n</t>
  </si>
  <si>
    <t>V.14</t>
  </si>
  <si>
    <t xml:space="preserve">   2. Tµi s¶n thuÕ thu nhËp ho·n l¹i</t>
  </si>
  <si>
    <t>V.21</t>
  </si>
  <si>
    <t xml:space="preserve">   3. Tµi s¶n dµi h¹n kh¸c</t>
  </si>
  <si>
    <t>Tæng céng tµi s¶n (280=100+200)</t>
  </si>
  <si>
    <t>Nguån vèn</t>
  </si>
  <si>
    <t>A. Nî ph¶i tr¶ (300= 310 + 330)</t>
  </si>
  <si>
    <t xml:space="preserve">  I. Nî ng¾n h¹n</t>
  </si>
  <si>
    <t xml:space="preserve">    1. Vay vµ nî ng¾n h¹n</t>
  </si>
  <si>
    <t>V.15</t>
  </si>
  <si>
    <t xml:space="preserve">    2. Ph¶i tr¶ cho ng­êi b¸n</t>
  </si>
  <si>
    <t xml:space="preserve">    3. Ng­êi mua tr¶ tiÒn tr­íc</t>
  </si>
  <si>
    <t xml:space="preserve">    4. ThuÕ vµ c¸c kho¶n ph¶i nép Nhµ n­íc</t>
  </si>
  <si>
    <t>V.16</t>
  </si>
  <si>
    <t xml:space="preserve">    5. Ph¶i tr¶ ng­êi lao ®éng</t>
  </si>
  <si>
    <t xml:space="preserve">    6. Chi phÝ ph¶i tr¶</t>
  </si>
  <si>
    <t>V.17</t>
  </si>
  <si>
    <t xml:space="preserve">    7. Ph¶i tr¶ néi bé</t>
  </si>
  <si>
    <t xml:space="preserve">    8. Ph¶i tr¶ theo tiÕn ®é kÕ ho¹ch hîp ®ång x©y dùng</t>
  </si>
  <si>
    <t xml:space="preserve">    9. C¸c kho¶n ph¶i tr¶, ph¶i nép kh¸c</t>
  </si>
  <si>
    <t>V.18</t>
  </si>
  <si>
    <t xml:space="preserve">    10. Dù phßng ph¶i tr¶ ng¾n h¹n</t>
  </si>
  <si>
    <t xml:space="preserve">  II. Nî dµi h¹n</t>
  </si>
  <si>
    <t xml:space="preserve">    1. Ph¶i tr¶ dµi h¹n ng­êi b¸n</t>
  </si>
  <si>
    <t xml:space="preserve">    2. Ph¶i tr¶ dµi h¹n néi bé</t>
  </si>
  <si>
    <t>V.19</t>
  </si>
  <si>
    <t xml:space="preserve">    3. Ph¶i tr¶ dµi h¹n kh¸c</t>
  </si>
  <si>
    <t xml:space="preserve">    4. Vay vµ nî dµi h¹n</t>
  </si>
  <si>
    <t>V.20</t>
  </si>
  <si>
    <t xml:space="preserve">    5. ThuÕ thu nhËp ho·n l¹i ph¶i tr¶</t>
  </si>
  <si>
    <t xml:space="preserve">    6. Dù phßng trî cÊp mÊt viÖc lµm</t>
  </si>
  <si>
    <t xml:space="preserve">    6. Dù phßng ph¶i tr¶ dµi h¹n</t>
  </si>
  <si>
    <t>B. Vèn chñ së h÷u (400= 410 + 430)</t>
  </si>
  <si>
    <t xml:space="preserve">  I. Vèn chñ së h÷u</t>
  </si>
  <si>
    <t>V.22</t>
  </si>
  <si>
    <t xml:space="preserve">    1. Vèn ®Çu t­ cña chñ së h÷u</t>
  </si>
  <si>
    <t xml:space="preserve">    2. ThÆng d­ vèn cæ phÇn</t>
  </si>
  <si>
    <t xml:space="preserve">    3. Vèn kh¸c cña chñ së h÷u</t>
  </si>
  <si>
    <t xml:space="preserve">    4. Cæ phiÕu quü ng©n quü</t>
  </si>
  <si>
    <t xml:space="preserve">    5. Chªnh lÖch ®¸nh gi¸ l¹i tµi s¶n</t>
  </si>
  <si>
    <t xml:space="preserve">    6. Chªnh lÖch tû gi¸ hèi ®o¸i</t>
  </si>
  <si>
    <t xml:space="preserve">    7. Quü ®Çu t­ ph¸t triÓn</t>
  </si>
  <si>
    <t xml:space="preserve">    8. Quü dù phßng tµi chÝnh</t>
  </si>
  <si>
    <t xml:space="preserve">    9. Quü kh¸c thuéc vèn chñ së h÷u</t>
  </si>
  <si>
    <t xml:space="preserve">  10. Lîi nhuËn sau thuÕ ch­a ph©n phèi</t>
  </si>
  <si>
    <t xml:space="preserve">  11. Nguån vèn ®Çu t­ XDCB</t>
  </si>
  <si>
    <t xml:space="preserve">  II. Nguån kinh phÝ vµ quü kh¸c</t>
  </si>
  <si>
    <t xml:space="preserve">    1. Quü khen th­ëng, phóc lîi</t>
  </si>
  <si>
    <t xml:space="preserve">    2. Nguån kinh phÝ</t>
  </si>
  <si>
    <t>V.23</t>
  </si>
  <si>
    <t xml:space="preserve">    3. Nguån kinh phÝ ®· h×nh thµnh TSC§</t>
  </si>
  <si>
    <t>C. Lîi Ých cña cæ ®«ng tèi thiÓu</t>
  </si>
  <si>
    <t>C. Lîi Ých cña cæ ®«ng tèi thiÓu sè</t>
  </si>
  <si>
    <t>Tæng céng nguån vèn (440=300+400)</t>
  </si>
  <si>
    <t>C¸c chØ tiªu ngoµi b¶ng c©n ®èi kÕ to¸n</t>
  </si>
  <si>
    <t>ChØ tiªu</t>
  </si>
  <si>
    <t xml:space="preserve">    1. Tµi s¶n thuª ngoµi</t>
  </si>
  <si>
    <t>V.24</t>
  </si>
  <si>
    <t xml:space="preserve">     - Tµi s¶n thuª ngoµi</t>
  </si>
  <si>
    <t xml:space="preserve">     - Tµi s¶n kh«ng cÇn dïng (CPH)</t>
  </si>
  <si>
    <t xml:space="preserve">    2. VËt t­, hµng ho¸ nhËn gi÷ hé, nhËn gia c«ng</t>
  </si>
  <si>
    <t xml:space="preserve">    3. Hµng ho¸ nhËn b¸n hé, nhËn ký göi, ký c­îc</t>
  </si>
  <si>
    <t xml:space="preserve">    4. Nî khã ®ßi ®· xö lý</t>
  </si>
  <si>
    <t xml:space="preserve">    5. Ngo¹i tÖ c¸c lo¹i</t>
  </si>
  <si>
    <t xml:space="preserve">    6. Dù to¸n chi sù nghiÖp, dù ¸n</t>
  </si>
  <si>
    <t>Tuyªn Quang, ngµy 20 th¸ng  7 n¨m 2007</t>
  </si>
  <si>
    <t xml:space="preserve">                        Ng­êi lËp                                           KÕ to¸n tr­ëng</t>
  </si>
  <si>
    <t>Thñ tr­ëng ®¬n vÞ</t>
  </si>
  <si>
    <t>Tæng c«ng ty  S«ng §µ</t>
  </si>
  <si>
    <t>C«ng ty cæ phÇn S«ng ®µ 5</t>
  </si>
  <si>
    <t>KÕt qu¶ ho¹t ®éng kinh doanh hîp nhÊt</t>
  </si>
  <si>
    <t>Quý II vµ 6 th¸ng ®Çu n¨m 2007</t>
  </si>
  <si>
    <t>PhÇn I - L·i, lç</t>
  </si>
  <si>
    <t>§VT: ®ång</t>
  </si>
  <si>
    <t>M·</t>
  </si>
  <si>
    <t>Quý II n¨m 2007</t>
  </si>
  <si>
    <t>Luü kÕ tõ ®Çu n¨m</t>
  </si>
  <si>
    <t>sè</t>
  </si>
  <si>
    <t>1. Doanh thu b¸n hµng vµ cung cÊp dÞch vô</t>
  </si>
  <si>
    <t>01</t>
  </si>
  <si>
    <t>VI.25</t>
  </si>
  <si>
    <t>2. C¸c kho¶n gi¶m trõ ( 03 =(04+05+06+07)</t>
  </si>
  <si>
    <t>02</t>
  </si>
  <si>
    <t>3. Doanh thu thuÇn vÒ b¸n hµng vµ cung cÊp dÞch vô (01-02)</t>
  </si>
  <si>
    <t>4. Gi¸ vèn hµng b¸n</t>
  </si>
  <si>
    <t>VI.27</t>
  </si>
  <si>
    <t>5. Lîi nhuËn gép vÒ b¸n hµng vµ cung cÊp dÞch vô (10-11)</t>
  </si>
  <si>
    <t>6. Doanh thu ho¹t ®éng tµi chÝnh</t>
  </si>
  <si>
    <t>VI.26</t>
  </si>
  <si>
    <t>7. Chi phÝ tµi chÝnh</t>
  </si>
  <si>
    <t>VI.28</t>
  </si>
  <si>
    <t xml:space="preserve"> - Trong ®ã : Chi phÝ l·i vay</t>
  </si>
  <si>
    <t>8. Chi phÝ b¸n hµng</t>
  </si>
  <si>
    <t>9. Chi phÝ qu¶n lý doanh nghiÖp</t>
  </si>
  <si>
    <t>10. Lîi nhuËn tõ thuÇn tõ ho¹t ®éng kinh doanh</t>
  </si>
  <si>
    <t>11. Thu nhËp kh¸c</t>
  </si>
  <si>
    <t>12. Chi phÝ kh¸c</t>
  </si>
  <si>
    <t>13. Lîi nhuËn kh¸c ( 40 = 31-32)</t>
  </si>
  <si>
    <t>14. Tæng lîi nhuËn kÕ to¸n tr­íc thuÕ (50= 30+40)</t>
  </si>
  <si>
    <t>15. Chi phÝ thuÕ TNDN hiÖn hµnh</t>
  </si>
  <si>
    <t>VI.30</t>
  </si>
  <si>
    <t>16. Chi phÝ thuÕ TNDN ho·n l¹i</t>
  </si>
  <si>
    <t>17. Lîi nhuËn sau thuÕ thu nhËp doanh nghiÖp (50-51-52)</t>
  </si>
  <si>
    <t>17.1 Lîi Ých cña cæ ®«ng thiÓu sè</t>
  </si>
  <si>
    <t>17.2 Lîi nhuËn sau thuÕ cña cæ ®«ng c«ng ty mÑ</t>
  </si>
  <si>
    <t>18. L·i c¬ b¶n trªn cæ phiÕu</t>
  </si>
  <si>
    <t>17.2 Lîi nhËn sau thuÕ cña c«ng ty mÑ</t>
  </si>
  <si>
    <t>Tuyªn Quang, ngµy 20 th¸ng  7  n¨m 2007</t>
  </si>
  <si>
    <t xml:space="preserve">            lËp biÓu                                      kÕ to¸n tr­ëng</t>
  </si>
  <si>
    <t>tHñ Tr­ëng ®¬n vÞ</t>
  </si>
  <si>
    <t xml:space="preserve">    Tæng c«ng ty S«ng §µ</t>
  </si>
  <si>
    <t>B¸o c¸o l­u chuyÓn tiÒn tÖ hîp nhÊt</t>
  </si>
  <si>
    <t>( Theo ph­¬ng ph¸p trùc tiÕp) (*)</t>
  </si>
  <si>
    <t>§Õn 30 th¸ng 6 n¨m 2007</t>
  </si>
  <si>
    <t>N¨m nay</t>
  </si>
  <si>
    <t>N¨m tr­íc</t>
  </si>
  <si>
    <t>I. L­u chuyÓn tiÒn tõ ho¹t ®éng kinh doanh</t>
  </si>
  <si>
    <t>1. TiÒn thu tõ b¸n hµng, cung cÊp dÞch vô vµ doanh thu kh¸c</t>
  </si>
  <si>
    <t>2. TiÒn chi tr¶ cho ng­êi cung cÊp hµng ho¸ vµ dÞch vô</t>
  </si>
  <si>
    <t>3. TiÒn chi tr¶ cho ng­êi lao ®éng</t>
  </si>
  <si>
    <t>03</t>
  </si>
  <si>
    <t>4. TiÒn chi tr¶ l·i vay</t>
  </si>
  <si>
    <t>04</t>
  </si>
  <si>
    <t>5. TiÒn chi nép thuÕ thu nhËp doanh nghiÖp</t>
  </si>
  <si>
    <t>05</t>
  </si>
  <si>
    <t>6. TiÒn thu kh¸c tõ ho¹t ®éng kinh doanh</t>
  </si>
  <si>
    <t>06</t>
  </si>
  <si>
    <t>7. TiÒn chi kh¸c cho ho¹t ®éng kinh doanh</t>
  </si>
  <si>
    <t>07</t>
  </si>
  <si>
    <t>L­u chuyÓn tiÒn thuÇn tõ ho¹t ®éng kinh doanh</t>
  </si>
  <si>
    <t>II. L­u chuyÓn tiÒn tõ ho¹t ®éng ®Çu t­</t>
  </si>
  <si>
    <t>1. TiÒn chi ®Ó mua s¾m, x©y dùng TSC§ vµ c¸c tµi s¶n dµi h¹n kh¸c</t>
  </si>
  <si>
    <t>2. TiÒn thu tõ thanh lý, nh­îng b¸n TSC§ vµ c¸c tµi s¶n dµi h¹n kh¸c</t>
  </si>
  <si>
    <t>3. TiÒn chi cho vay, mua c¸c c«ng cô nî cña ®¬n vÞ kh¸c</t>
  </si>
  <si>
    <t>4. TiÒn thu håi cho vay, b¸n l¹i c¸c c«ng cô nî cña ®¬n vÞ kh¸c</t>
  </si>
  <si>
    <t>5. TiÒn chi ®Çu t­ gãp vèn vµo ®¬n vÞ kh¸c</t>
  </si>
  <si>
    <t>6. TiÒn thu håi ®Çu t­ gãp vèn vµo ®¬n vÞ kh¸c</t>
  </si>
  <si>
    <t>7. TiÒn thu l·i cho vay, cæ tøc vµ lîi nhuËn ®­îc chia</t>
  </si>
  <si>
    <t>L­u chuyÓn tiÒn thuÇn tõ ho¹t ®éng ®Çu t­</t>
  </si>
  <si>
    <t>III. L­u chuyÓn tiÒn tõ ho¹t ®éng tµi chÝnh</t>
  </si>
  <si>
    <t>1. TiÒn thu tõ ph¸t hµnh cæ phiÕu, nhËn vèn gãp cña chñ së h÷u</t>
  </si>
  <si>
    <t xml:space="preserve">2. TiÒn chi tr¶ vèn gãp cho c¸c chñ së h÷u, mua l¹i cæ phiÕu </t>
  </si>
  <si>
    <t>cña doanh nghiÖp ®· ph¸t hµnh</t>
  </si>
  <si>
    <t>3. TiÒn vay ng¾n h¹n, dµi h¹n nhËn ®­îc</t>
  </si>
  <si>
    <t>4. TiÒn chi tr¶ nî gèc vay</t>
  </si>
  <si>
    <t>5.TiÒn chi tr¶ nî thuª tµi chÝnh</t>
  </si>
  <si>
    <t>6. Cæ tøc, lîi nhuËn ®· tr¶ cho chñ së h÷u</t>
  </si>
  <si>
    <t>L­u chuyÓn tiÒn thuÇn tõ ho¹t ®éng tµi chÝnh</t>
  </si>
  <si>
    <t>L­u chuyÓn tiÒn thuÇn trong kú (50=20+30+40)</t>
  </si>
  <si>
    <t>TiÒn vµ t­¬ng ®­¬ng tiÒn ®Çu kú</t>
  </si>
  <si>
    <t>¶nh h­ëng cña thay ®æi tû gi¸ hèi ®o¸i quy ®æi ngo¹i tÖ</t>
  </si>
  <si>
    <t>TiÒn vµ t­¬ng ®­¬ng tiÒn cuèi kú (70=50+60+61)</t>
  </si>
  <si>
    <t>VII.34</t>
  </si>
  <si>
    <t>Tuyªn Quang, ngµy 20 th¸ng 7 n¨m 2007</t>
  </si>
  <si>
    <t xml:space="preserve">                LËp biÓu                                                        KÕ to¸n tr­ëng</t>
  </si>
  <si>
    <t>B¸o c¸o Tµi chÝnh hîp nhÊt</t>
  </si>
  <si>
    <t>§Þa chØ : ThÞ trÊn Na Hang - Na Hang -Tuyªn Quang</t>
  </si>
  <si>
    <t>§Õn 30/6/2007</t>
  </si>
  <si>
    <t xml:space="preserve">§iÖn tho¹i :            FAX: </t>
  </si>
  <si>
    <t>ThuyÕt minh b¸o c¸o tµi chÝnh hîp nhÊt</t>
  </si>
  <si>
    <t>I.</t>
  </si>
  <si>
    <t>ÑAËC ÑIEÅM HOAÏT ÑOÄNG CUÛA DOANH NGHIEÄP</t>
  </si>
  <si>
    <t>1.</t>
  </si>
  <si>
    <t>Hình thöùc sôû höõu voán:</t>
  </si>
  <si>
    <t xml:space="preserve">C«ng ty Cæ phÇn S«ng §µ 5 thµnh lËp theo QuyÕt ®Þnh sè 1720/Q§ BXD ngµy 04 th¸ng 11 n¨m 2004 cña Bé X©y dùng vÒ viÖc chuyÓn C«ng ty S«ng §µ 5 thuéc Tæng C«ng ty S«ng §µ thµnh c«ng ty Cæ phÇn. C«ng ty ho¹t ®éng theo §¨ng ký kinh doanh sè 1503000031 ngµy 07 th¸ng 01 n¨m 2005 cña S¬ KÕ ho¹ch vµ §Çu t­ TØnh Tuyªn Quang </t>
  </si>
  <si>
    <t xml:space="preserve">Tªn ban ®Çu lµ : C«ng ty S«ng §µ 5 thuéc Táng C«ng ty S«ng §µ lµ doanh nghiÖp Nhµ N­íc ®­îc thµnh lËp theo QuyÕt ®Þnh sè 134A BXD/TCL§ ngµy 26 th¸ng 3 n¨m 1993 cña Bé tr­ëng Bé X©y dùng. </t>
  </si>
  <si>
    <t xml:space="preserve">Vèn ®iÒu lÖ: </t>
  </si>
  <si>
    <t>22.000.000.000 ®</t>
  </si>
  <si>
    <t>Trô së giao dÞch t¹i : ThÞ trÊn Na Hang - HuyÖn Na Hang - TØnh Tuyªn Quang</t>
  </si>
  <si>
    <t>2.</t>
  </si>
  <si>
    <t>Ngaønh ngheà kinh doanh:</t>
  </si>
  <si>
    <t>- X©y dùng c«ng tr×nh c«ng nghiÖp , x©y dùng c¸c c«ng tr×nh d©n dông</t>
  </si>
  <si>
    <t>- S¶n xuÊt g¹ch ngãi, tÊm lîp b»ng Phibr« xi m¨ng;</t>
  </si>
  <si>
    <t>- Mua b¸n vËt liÖu x©y dùng;</t>
  </si>
  <si>
    <t>- Thi c«ng b»ng ph­¬ng ph¸p næ m×n, xö lý c«ng tr×nh b»ng ph­¬ng ph¸p khoan phun, khoan phôt,</t>
  </si>
  <si>
    <t>- X©y dùng c«ng tr×nh ngÇm d­íi ®Êt, d­íi n­íc, x©y dùng c«ng tr×nh giao th«ng.</t>
  </si>
  <si>
    <t xml:space="preserve"> - §Çu t­ x©y dùng l¾p ®Æt nh¸n m¸y thuû ®iÖn, mua b¸n nhËp khÈu vËt t­ TBP phô tïng xe m¸y</t>
  </si>
  <si>
    <t xml:space="preserve"> - §Çu t­ tµi chÝnh vµo c¸c c«ng ty con, c«ng ty liªn kÕt</t>
  </si>
  <si>
    <t>C«ng ty ch­a thùc hiÖn quyÕt to¸n víi c¬ quan thuÕ, sau khi quyÕt to¸n nÕu cã sù chªnh lÖch c«ng ty sÏ tiÕn hµnh ®iÒu chØnh theo sè liÖu cña c¬ quan thuÕ.</t>
  </si>
  <si>
    <t>Trô së chinh C«ng ty ®­îc ®Æt t¹i ThÞ trÊn Na Hang - HuyÖn Na Hang - Tuyªn Quang</t>
  </si>
  <si>
    <t>C«ng ty cã c¸c ®¬n vÞ thµnh viªn bao gåm c¸c ®¬n vÞ trùc thuéc sau</t>
  </si>
  <si>
    <t>Tªn XÝ nghiÖp</t>
  </si>
  <si>
    <t>§Þa chØ</t>
  </si>
  <si>
    <t>XÝ nghiÖp S«ng §µ 5.01</t>
  </si>
  <si>
    <t>ThÞ trÊn Na Hang - HuyÖn Na Hang - Tuyªn Quang</t>
  </si>
  <si>
    <t>XÝ nghiÖp S«ng §µ 5.02</t>
  </si>
  <si>
    <t>XÝ nghiÖp S«ng §µ 5.03</t>
  </si>
  <si>
    <t>XÝ nghiÖp S«ng §µ 5.04</t>
  </si>
  <si>
    <t>ThÞ trÊn M­êng La - HuyÖn M­êng La - S¬n La</t>
  </si>
  <si>
    <t>XÝ nghiÖp S«ng §µ 5.06</t>
  </si>
  <si>
    <t>Tæng sè C«ng ty con tham gia hîp nhÊt B¸o c¸o tµi chÝnh: 01 Cong ty</t>
  </si>
  <si>
    <t>Tªn ®¬n vÞ</t>
  </si>
  <si>
    <t>Trô së</t>
  </si>
  <si>
    <t>C«ng ty cæ phÇn S«ng §µ 5.05</t>
  </si>
  <si>
    <t>X· Iakhai - HuyÖn Iagrai - Gia Lai</t>
  </si>
  <si>
    <t>Tû lÖ lîi Ých c«ng ty mÑ: 51%; Tû lÖ quyÒn biÓu quyÕt: 51%</t>
  </si>
  <si>
    <t>II.</t>
  </si>
  <si>
    <t>NIEÂN ÑOÄ KEÁ TOAÙN, ÑÔN VÒ TIEÀN TEÄ SÖÛ DUÏNG TRONG KEÁ TOAÙN</t>
  </si>
  <si>
    <t xml:space="preserve"> </t>
  </si>
  <si>
    <t xml:space="preserve">Nieân ñoä keá toaùn: </t>
  </si>
  <si>
    <t>Niªn ®é kÕ to¸n cña C«ng ty b¾t ®Çu tõ ngµy 01/01 vµ kÕt thóc vµo ngµy 31/12 hµng n¨m.</t>
  </si>
  <si>
    <t>Ñôn vò tieàn teä söû duïng trong keá toaùn:</t>
  </si>
  <si>
    <t>§¬n vÞ tiÒn tÖ sö dông trong kÕ to¸n lµ VN§. .H¹ch to¸n theo nguyªn t¾c gi¸ gèc.</t>
  </si>
  <si>
    <t>III.</t>
  </si>
  <si>
    <t>CHEÁ ÑOÄ KEÁ TOAÙN AÙP DUÏNG</t>
  </si>
  <si>
    <t>Cheá ñoä keá toaùn aùp duïng:</t>
  </si>
  <si>
    <t>C«ng ty ¸p dông chÕ ®é kÕ to¸n ViÖt Nam ban hµnh theoquyÕt ®Þnh 1141/TC/Q§/C§KT ngµy 01/11/1995, ChÕ ®é b¸o c¸o tµi chÝnh doanh nghiÖp ban hµnh theo QuyÕt ®Þnh 167/2000/Q§-BTC ngµy 25/10/2000; h­íng dÉn söa ®æi, bæ sung chÕ ®é b¸o c¸o tµi chÝnh t¹i Th«ng t­ 89/2002/TT-BTC ngµy 09/10/2002, Th«ng t­ 105/2003/TT - BTC ngµy 04/11/2003 vµ Th«ng t­ 23/2005/TT - BTC ngµy 30/03/2005,Q§ sè 15/2006/Q§-BTC ngµy 20 /03/2006 cña BTC.</t>
  </si>
  <si>
    <t>Hình thöùc soå keá toaùn aùp duïng:</t>
  </si>
  <si>
    <t>C«ng ty ¸p dông h×nh thøc sæ kÕ to¸n : NhËt ký chung</t>
  </si>
  <si>
    <t>IV.</t>
  </si>
  <si>
    <t>TUYEÂN BOÁ VEÀ VIEÄC TUAÂN THUÛ CHUAÅN MÖÏC KEÁ TOAÙN VAØ CHEÁ ÑOÄ KEÁ TOAÙN VIEÄT NAM</t>
  </si>
  <si>
    <t>Caùc baùo caùo taøi chính cuûa Coâng ty ñöôïc laäp theo Heä thoáng keá toaùn Vieät Nam vaø heä thoáng Chuaån möïc Keá toaùn Vieät Nam do Boä Taøi chính ban haønh theo:</t>
  </si>
  <si>
    <t>Quyeát ñònh soá 149/2001/QÑ-BTC ngaøy 31 thaùng 12 naêm 2001 veà vieäc ban haønh boán chuaån möïc Keá toaùn Vieät Nam (ñôït 1);</t>
  </si>
  <si>
    <t>Quyeát ñònh soá 165/2002/QÑ-BTC ngaøy 31 thaùng 12 naêm 2002 veà vieäc ban haønh saùu chuaån möïc Keá toaùn Vieät Nam (ñôït 2);</t>
  </si>
  <si>
    <t>Quyeát ñònh soá 234/2003/QÑ-BTC ngaøy 30 thaùng 12 naêm 2003 veà vieäc ban haønh saùu chuaån möïc Keá toaùn Vieät Nam (ñôït 3);</t>
  </si>
  <si>
    <t>Quyeát ñònh soá 12/2005/QÑ-BTC ngaøy 15 thaùng 02 naêm 2005 veà vieäc ban haønh saùu chuaån möïc Keá toaùn Vieät Nam (ñôït 4).</t>
  </si>
  <si>
    <t>Vì vaäy, baûng caân ñoái keá toaùn, baùo caùo keát quaû hoaït ñoäng kinh doanh, baùo caùo löu chuyeån tieàn teä vaø vieäc söû duïng caùc baùo caùo naøy khoâng daønh cho caùc ñoái töôïng khoâng ñöôïc cung caáp caùc thoâng tin veà heä thoáng Chuaån möïc Keá toaùn Vieät Nam vaø cheá ñoä Keá toaùn Vieät Nam.</t>
  </si>
  <si>
    <t>CAÙC CHÍNH SAÙCH KEÁ TOAÙN AÙP DUÏNG TAÏI DOANH NGHIEÄP</t>
  </si>
  <si>
    <t>Nguyeân taéc xaùc ñònh caùc khoaûn tieàn:</t>
  </si>
  <si>
    <t>Nguyeân taéc xaùc ñònh caùc khoaûn töông ñöông tieàn:</t>
  </si>
  <si>
    <t>Laø caùc khoaûn ñaàu tö ngaén haïn coù thôøi haïn thu hoài hoaëc ñaùo haïn khoâng quaù 3 thaùng coù khaû naêng chuyeån ñoåi deã daøng thaønh moät löôïng tieàn xaùc ñònh vaø khoâng coù nhieàu ruûi ro trong chuyeån ñoåi thaønh tieàn keå töø ngaøy mua khoaûn ñaàu tö ñoù taïi thôøi ñieåm baùo caùo.</t>
  </si>
  <si>
    <t>Nguyeân taéc vaø phöông phaùp chuyeån ñoåi caùc ñoàng tieàn khaùc ra ñoàng tieàn söû duïng trong keá toaùn:</t>
  </si>
  <si>
    <t>C¸c nghiÖp vô kinh tÕ ph¸t sinh b»ng ngo¹i tÖ ®­îc quy ®æi sang ViÖt Nam ®ång theo tû gi¸ giao dÞch thùc tÕ (hoÆc tû gi¸ b×nh qu©n liªn ng©n hµng) t¹i thêi ®iÓm nghiÖp vô ph¸t sinh. T¹i thêi ®iÓm cuèi n¨m c¸c kho¶n môc tiÒn cã gèc ngo¹i tÖ ®­îc quy ®æi theo tû gi¸ b×nh qu©n liªn ng©n hµng do Ng©n hµng Nhµ n­íc ViÖt Nam c«ng bè vµo ngµy 31 th¸ng 12 n¨m 2006</t>
  </si>
  <si>
    <t>Chính saùch keá toaùn ñoái vôùi haøng toàn kho:</t>
  </si>
  <si>
    <t>a.</t>
  </si>
  <si>
    <t>Nguyeân taéc ñaùnh giaù haøng tån kho:</t>
  </si>
  <si>
    <t>Haøng toàn kho ñöôïc tính theo giaù goác. Tröôøng hôïp giaù trò thuaàn coù theå thöïc hieän ñöôïc thaáp hôn giaù goác thì phaûi tính theo giaù trò thuaàn coù theå thöïc hieän ñöôïc.</t>
  </si>
  <si>
    <t>Giaù goác haøng toàn kho bao goàm: Chi phí mua, chi phí cheá bieán vaø caùc chi phí lieân quan tröïc tieáp khaùc phaùt sinh ñeå coù ñöôïc haøng toàn kho ôû ñòa ñieåm vaø traïng thaùi hieän taïi.</t>
  </si>
  <si>
    <t>Giaù trò thuaàn coù theå thöïc hieän ñöôïc laø giaù baùn öôùc tính cuûa haøng toàn kho trong kyø saûn xuaát, kinh doanh bình thöôøng tröø (-) chi phí öôùc tính ñeå hoaøn thaønh saûn phaåm vaø chi phí öôùc tính caàn thieát cho vieäc tieâu thuï chuùng.</t>
  </si>
  <si>
    <t>b.</t>
  </si>
  <si>
    <t>Phöông phaùp haïch toaùn haøng toàn kho:</t>
  </si>
  <si>
    <t>Keâ khai thöôøng xuyeân</t>
  </si>
  <si>
    <t>c.</t>
  </si>
  <si>
    <t>Phöông phaùp xaùc ñònh giaù trò haøng toàn kho cuoái kyø:</t>
  </si>
  <si>
    <t xml:space="preserve">Nguyeân vaät lieäu, haøng hoùa, thaønh phaåm: theo phöông phaùp bình quaân gia quyeàn </t>
  </si>
  <si>
    <t>S¶n phÈm dë dang:</t>
  </si>
  <si>
    <t>S¶n phÈm dë dang t¹i c¸c c«ng tr×nh, hîp ®ång, dù ¸n: Bao gåm gi¸ vèn nguyªn vËt liÖu, chi phÝ nh©n c«ng vµ chi phÝ s¶n xuÊt chung. Chi phÝ nh©n c«ng vµ chi phÝ s¶n xuÊt chung ®­îc ph©n bæ theo gi¸ trÞ thùc tÕ.</t>
  </si>
  <si>
    <t>d.</t>
  </si>
  <si>
    <t>Ph­¬ng ph¸p tÝnh gi¸ vèn hµng b¸n:</t>
  </si>
  <si>
    <t>Gi¸ trÞ nguyªn vËt liÖu, chi phÝ nh©n c«ng vµ chi phÝ s¶n xuÊt chung ®­îc tËp hîp ph©n bæ theo tõng c«ng tr×nh, hîp ®ång theo gi¸ trÞ dù to¸n.</t>
  </si>
  <si>
    <t>e.</t>
  </si>
  <si>
    <t>T×nh h×nh trÝch lËp vµ hoµn nhËp dù phßng hµng tån kho:</t>
  </si>
  <si>
    <t xml:space="preserve">Cuoái kyø keá toaùn naêm, khi giaù trò thuaàn coù theå thöïc hieän ñöôïc cuûa haøng toàn kho nhoû hôn giaù goác thì phaûi laäp döï phoøng giaûm giaù haøng toàn kho. </t>
  </si>
  <si>
    <t>Soá döï phoøng giaûm giaù haøng toàn kho ñöôïc laäp laø soá cheânh leäch giöõa giaù goác cuûa haøng toàn kho vôùi giaù trò thuaàn coù theå thöïc hieän ñöôïc cuûa chuùng.</t>
  </si>
  <si>
    <t>Vieäc laäp döï phoøng giaûm giaù haøng toàn kho ñöôïc thöïc hieän treân cô sôû töøng maët haøng toàn kho. Ñoái vôùi dòch vuï cung caáp dôû dang, vieäc laäp döï phoøng giaûm giaù haøng toàn kho ñöôïc tính theo töøng loaïi dòch vuï coù möùc giaù rieâng bieät.</t>
  </si>
  <si>
    <t>Taêng hoaëc giaûm khoaûn döï phoøng giaûm giaù haøng toàn kho ñöôïc keát chuyeån vaøo giaù voán haøng baùn trong naêm.</t>
  </si>
  <si>
    <t>3.</t>
  </si>
  <si>
    <t>Nguyeân taéc ghi nhaän caùc khoaûn phaûi thu thöông maïi vaø phaûi thu khaùc:</t>
  </si>
  <si>
    <t>Nguyeân taéc ghi nhaän:</t>
  </si>
  <si>
    <t>Caùc khoaûn phaûi thu thöông maïi ñöôïc ghi nhaän theo giaù goác tröø caùc khoaûn döï phoøng nôï phaûi thu khoù ñoøi öôùc tính vaøo thôøi ñieåm cuoái naêm taøi chính.</t>
  </si>
  <si>
    <t>Laäp döï phoøng phaûi thu khoù ñoøi:</t>
  </si>
  <si>
    <t>Döï phoøng phaûi thu khoù ñoøi ñöôïc laäp cho caùc khoaûn nôï phaûi thu ñaõ quaù haïn thanh toaùn töø 1 naêm trôû leân doanh nghieäp ñaõ ñoøi nhieàu laàn nhöng chöa thu ñöôïc nôï vaø caùc khoaûn nôï döôùi 1 naêm nhöng con nôï coù daáu hieäu khoâng traû ñöôïc nôï. Taêng hoaëc giaûm khoaûn döï phoøng nôï phaûi thu khoù ñoøi ñöôïc tính vaøo chi phí quaûn lyù doanh nghieäp trong naêm.</t>
  </si>
  <si>
    <t>4.</t>
  </si>
  <si>
    <t>Nguyeân taéc xaùc ñònh khoaûn phaûi thu, phaûi traû theo tieán ñoä keá hoaïch hôïp ñoàng xaây döïng:</t>
  </si>
  <si>
    <t>(löu yù: tröôøng hôïp naøy chæ aùp duïng cho caùc hôïp ñoàng xaây döïng thanh toaùn theo tieán ñoä xaây döïng raát ít xaûy ra trong thöïc teá. Tröôøng hôïp thanh toaùn theo khoái löôïng thöïc hieän xem trình baøy phaûi thu, phaûi traû ôû ñoaïn 38, 39 CM 15- HÑXD)</t>
  </si>
  <si>
    <t>Nguyeân taéc xaùc ñònh khoaûn phaûi thu theo tieán ñoä hôïp ñoàng xaây döïng:</t>
  </si>
  <si>
    <t>Phaûi thu theo tieán ñoä keá hoaïch laø soá tieàn cheânh leäch giöõa toång doanh thu luõy keá cuûa hôïp ñoàng xaây döïng ñaõ ñöôïc ghi nhaän cho tôùi thôøi ñieåm baùo caùo, lôùn hôn khoaûn tieàn luõy keá ghi treân hoùa ñôn thanh toaùn theo tieán ñoä keá hoaïch cuûa hôïp ñoàng.</t>
  </si>
  <si>
    <t>Chæ tieâu naøy aùp duïng ñoái vôùi caùc hôïp ñoàng xaây döïng ñang thöïc hieän maø caùc khoaûn doanh thu luõy keá ñaõ ñöôïc ghi nhaän lôùn hôn caùc khoaûn tieàn luõy keá ghi treân hoùa ñôn thanh toaùn theo tieán ñoä tôùi thôøi ñieåm baùo caùo.</t>
  </si>
  <si>
    <t>Nguyeân taéc xaùc ñònh khoaûn phaûi traû theo tieán ñoä hôïp ñoàng xaây döïng:</t>
  </si>
  <si>
    <t>Phaûi traû theo tieán ñoä keá hoaïch laø soá tieàn cheânh leäch giöõa toång doanh thu luõy keá cuûa hôïp ñoàng xaây döïng ñaõ ñöôïc ghi nhaän cho tôùi thôøi ñieåm baùo caùo, nhoû hôn khoaûn tieàn luõy keá ghi treân hoùa ñôn thanh toaùn theo tieán ñoä keá hoaïch cuûa hôïp ñoàng.</t>
  </si>
  <si>
    <t>Chæ tieâu naøy aùp duïng ñoái vôùi caùc hôïp ñoàng xaây döïng ñang thöïc hieän maø caùc khoaûn tieàn luõy keá ghi treân caùc hoùa ñôn thanh toaùn theo tieán ñoä keá hoaïch vöôït quaù caùc khoaûn doanh thu luõy keá ñaõ ñöôïc ghi nhaän tôùi thôøi ñieåm baùo caùo.</t>
  </si>
  <si>
    <t>5.</t>
  </si>
  <si>
    <t>Phöông phaùp ghi nhaän vaø khaáu hao taøi saûn coá ñònh (TSCÑ):</t>
  </si>
  <si>
    <t>TSCÑ höõu hình:</t>
  </si>
  <si>
    <t>Nguyeân taéc ghi nhaän TSCÑ höõu hình:</t>
  </si>
  <si>
    <t xml:space="preserve">Taøi saûn coá ñònh höõu hình ñöôïc theå hieän theo nguyeân giaù tröø ñi giaù trò hao moøn luõy keá. </t>
  </si>
  <si>
    <t>Nguyeân giaù taøi saûn coá ñònh höõu hình bao goàm giaù mua vaø nhöõng chi phí coù lieân quan tröïc tieáp ñeán vieäc ñöa taøi saûn vaøo hoaït ñoäng. Caùc chi phí mua saém, naâng caáp vaø ñoåi môùi taøi saûn coá ñònh ñöôïc tính vaøo giaù trò taøi saûn, chi phí baûo trì söûa chöõa ñöôïc tính vaøo baùo caùo keát quaû hoaït ñoäng kinh doanh trong kyø. Khi taøi saûn ñöôïc baùn hay thanh lyù, nguyeân giaù vaø giaù trò hao moøn luõy keá ñöôïc xoùa soå vaø baát kyø caùc khoaûn laõi (loã) naøo phaùt sinh do thanh lyù taøi saûn ñeàu ñöôïc haïch toaùn vaøo baùo caùo keát quaû hoaït ñoäng kinh doanh trong kyø.</t>
  </si>
  <si>
    <t>Chi phí xaây döïng cô baûn dôû dang ñöôïc theå hieän theo nguyeân giaù. Nguyeân giaù naøy bao goàm chi phí xaây döïng, giaù trò maùy moùc thieát bò vaø caùc chi phí tröïc tieáp khaùc. Chi phí xaây döïng cô baûn dôû dang khoâng ñöôïc tính khaáu hao cho ñeán khi caùc taøi saûn coù lieân quan ñöôïc hoaøn thaønh vaø ñöa vaøo söû duïng.</t>
  </si>
  <si>
    <t>Phöông phaùp khaáu hao TSCÑ höõu hình:</t>
  </si>
  <si>
    <t>Khaáu hao taøi saûn coá ñònh ñöôïc tính theo phöông phaùp ñöôøng thaúng. Thôøi gian khaáu hao aùp duïng theo thôøi gian quy ñònh taïi Quyeát ñònh soá 206/2003/QÑ-BTC ngaøy 12 thaùng 12 naêm 2003 cuûa Boä Taøi Chính, cuï theå nhö sau:</t>
  </si>
  <si>
    <t>Loaïi taøi saûn</t>
  </si>
  <si>
    <t>Thôøi gian (naêm)</t>
  </si>
  <si>
    <t>Nhaø cöûa, vaät kieán truùc</t>
  </si>
  <si>
    <t>08 - 20</t>
  </si>
  <si>
    <t>Maùy moùc thieát bò</t>
  </si>
  <si>
    <t>07 - 12</t>
  </si>
  <si>
    <t>Phöông tieän vaän taûi</t>
  </si>
  <si>
    <t>05 - 07</t>
  </si>
  <si>
    <t>Thieát bò vaên phoøng</t>
  </si>
  <si>
    <t>06 - 08</t>
  </si>
  <si>
    <t>Taøi saûn coá ñònh khaùc</t>
  </si>
  <si>
    <t>05 - 06</t>
  </si>
  <si>
    <t>6.</t>
  </si>
  <si>
    <t>Hôïp ñoàng thueâ taøi chính (ñoái vôùi beân ñi thueâ):</t>
  </si>
  <si>
    <t>Nguyeân taéc ghi nhaän nguyeân giaù TSCÑ thueâ taøi chính:</t>
  </si>
  <si>
    <t>Nguyeân giaù TSCÑ thueâ taøi chính bao goàm giaù trò hôïp lyù cuûa taøi saûn thueâ vaø caùc chi phí tröïc tieáp phaùt sinh ban ñaàu lieân quan ñeán hoaït ñoäng thueâ taøi chính.</t>
  </si>
  <si>
    <t>Neáu giaù trò hôïp lyù cuûa taøi saûn thueâ cao hôn giaù trò hieän taïi cuûa khoaûn thanh toaùn tieàn thueâ toái thieåu thì ghi theo giaù trò hieän taïi.</t>
  </si>
  <si>
    <t>Giaù trò hôïp lyù: laø giaù trò taøi saûn coù theå ñöôïc trao ñoåi hoaëc giaù trò moät khoûan nôï ñöôïc thanh toùan moät caùch töï nguyeän giöõa caùc beân coù ñaày ñuû söï hieåu bieát trong söï trao ñoåi ngang giaù.</t>
  </si>
  <si>
    <t>Giaù trò hieän taïi cuûa khoaûn thanh toaùn tieàn thueâ toái thieåu cho vieäc thueâ taøi chính ñöôïc tính caên cöù vaøo tyû leä laõi suaát ngaàm ñònh hoaëc tyû leä laõi suaát ñöôïc ghi trong hôïp ñoàng thueâ hoaëc tyû leä laõi suaát bieân ñi vay cuûa beân thueâ.</t>
  </si>
  <si>
    <t>Nguyeân taéc vaø phöông phaùp khaáu hao TSCÑ thueâ taøi chính:</t>
  </si>
  <si>
    <t xml:space="preserve">Aùp duïng chính saùch khaáu hao nhaát quaùn vôùi chính saùch khaáu hao cuûa taøi saûn cuøng loaïi thuoäc sôû höõu cuûa doanh nghieäp ñi thueâ. </t>
  </si>
  <si>
    <t>Neáu khoâng chaéc chaén laø beân thueâ seõ coù quyeàn sôû höõu taøi saûn thueâ khi heát haïn hôïp ñoàng thueâ thì taøi saûn thueâ seõ ñöôïc khaáu hao theo thôøi haïn thueâ neáu thôøi haïn thueâ ngaén hôn thôøi gian söû duïng höõu ích cuûa taøi saûn thueâ.</t>
  </si>
  <si>
    <t>Quyeàn söû duïng daát</t>
  </si>
  <si>
    <t>04 - 25</t>
  </si>
  <si>
    <t>Phaàn meàm quaûn lyù</t>
  </si>
  <si>
    <t>7.</t>
  </si>
  <si>
    <t>Ghi nhaän vaø khaáu hao baát ñoäng saûn ñaàu tö:</t>
  </si>
  <si>
    <t>Nguyeân taéc ghi nhaän baát ñoäng saûn ñaàu tö:</t>
  </si>
  <si>
    <t>Baát ñoäng saûn ñaàu tö laø taøi saûn phaûi thoûa maõn ñoàng thôøi hai ñieàu kieän sau:</t>
  </si>
  <si>
    <t>(a) Chaéc chaén thu ñöôïc lôïi ích kinh teá trong töông lai; vaø</t>
  </si>
  <si>
    <t>Chaéc chaén thu ñöôïc lôïi ích kinh teá trong töông lai; vaø</t>
  </si>
  <si>
    <t>(b) Nguyeân giaù cuûa baát ñoäng saûn ñaàu tö phaûi ñöôïc xaùc ñònh moät caùch ñaùng tin caäy.</t>
  </si>
  <si>
    <t>Nguyeân giaù cuûa baát ñoäng saûn ñaàu tö phaûi ñöôïc xaùc ñònh moät caùch ñaùng tin caäy.</t>
  </si>
  <si>
    <t>Baát ñoäng saûn ñaàu tö phaûi ñöôïc xaùc ñònh giaù trò ban ñaàu theo nguyeân giaù. Nguyeân giaù cuûa baát ñoäng saûn ñaàu tö bao goàm caû caùc chi phí giao dòch lieân quan tröïc tieáp ban ñaàu.</t>
  </si>
  <si>
    <t xml:space="preserve">Caùc chi phí lieân quan ñeán baát ñoäng saûn ñaàu tö phaùt sinh sau ghi nhaän ban ñaàu phaûi ñöôïc ghi nhaän laø chi phí saûn xuaát, kinh doanh trong kyø, tröø khi chi phí naøy coù khaû naêng chaéc chaén laøm cho baát ñoäng saûn ñaàu tö taïo ra lôïi ích kinh teá trong töông lai nhieàu hôn möùc hoaït ñoäng ñöôïc ñaùnh giaù ban ñaàu thì ñöôïc ghi taêng nguyeân giaù baát ñoäng saûn ñaàu tö. </t>
  </si>
  <si>
    <t>Nguyeân taéc vaø phöông phaùp khaáu hao baát ñoäng saûn ñaàu tö: aùp duïng chính saùch khaáu hao nhaát quaùn vôùi chính saùch khaáu hao cuûa taøi saûn cuøng loaïi maø doanh nghieäp ñang söû duïng.</t>
  </si>
  <si>
    <t>8.</t>
  </si>
  <si>
    <t>Nguyeân taéc voán hoaù caùc khoaûn chi phí ñi vay (CPÑV) vaø chi phí khaùc:</t>
  </si>
  <si>
    <t>Nguyeân taéc voán hoùa caùc khoaûn chi phí ñi vay:</t>
  </si>
  <si>
    <t>Chi phí ñi vay lieân quan tröïc tieáp ñeán vieäc ñaàu tö xaây döïng hoaëc saûn xuaát taøi saûn dôû dang ñöôïc tính vaøo giaù trò cuûa taøi saûn ñoù. Caùc chi phí ñi vay ñöôïc voán hoùa khi doanh nghieäp chaéc chaén thu ñöôïc lôïi ích kinh teá trong töông lai do söû duïng taøi saûn ñoù vaø chi phí ñi vay coù theå xaùc ñònh ñöôïc moät caùch ñaùng tin caäy.</t>
  </si>
  <si>
    <t>Tyû leä voán hoùa chi phí ñi vay ñöôïc söû duïng ñeå xaùc ñònh CPÑV ñöôïc voán hoùa trong kyø:</t>
  </si>
  <si>
    <t>Tröôøng hôïp phaùt sinh caùc khoaûn voán vay chung thì soá chi phí ñi vay coù ñuû ñieàu kieän voán hoùa trong moãi kyø keá toaùn ñöôïc xaùc ñònh theo tyû leä voán hoùa ñoái vôùi chi phí luõy keá bình quaân gia quyeàn phaùt sinh cho vieäc ñaàu tö xaây döïng hoaëc saûn xuaát taøi saûn ñoù. Tyû leä voán hoùa ñöôïc tính theo tyû leä laõi suaát bình quaân gia quyeàn cuûa caùc khoaûn vay chöa traû trong kyø cuûa doanh nghieäp, ngoaïi tröø caùc khoaûn vay rieâng bieät phuïc vuï cho muïc ñích coù moät taøi saûn dôû dang. Chi phí ñi vay ñöôïc voán hoùa trong kyø khoâng ñöôïc vöôït quaù toång soá chi phí ñi vay phaùt sinh trong kyø ñoù.</t>
  </si>
  <si>
    <t>Nguyeân taéc voán hoùa caùc khoaûn chi phí khaùc:</t>
  </si>
  <si>
    <t>Chi phí traû tröôùc</t>
  </si>
  <si>
    <t>Chi phí khaùc</t>
  </si>
  <si>
    <t>Phöông phaùp phaân boå chi phí traû tröôùc:</t>
  </si>
  <si>
    <t>Phöông phaùp phaân boå lôïi theá thöông maïi:</t>
  </si>
  <si>
    <t>9.</t>
  </si>
  <si>
    <t>Nguyeân taéc keá toaùn chi phí nghieân cöùu phaùt trieån vaø trieån khai: ghi theo tình hình thöïc teá.</t>
  </si>
  <si>
    <t>10.</t>
  </si>
  <si>
    <t>Keá toaùn caùc khoaûn ñaàu tö taøi chính:</t>
  </si>
  <si>
    <t>Nguyeân taéc ghi nhaän caùc khoaûn ñaàu tö vaøo coâng ty con, coâng ty lieân keát:</t>
  </si>
  <si>
    <t xml:space="preserve">(a) Khoaûn ñaàu tö vaøo coâng ty lieân keát ñöôïc ghi nhaän theo giaù goác. </t>
  </si>
  <si>
    <t>Coå töùc, lôïi nhuaän ñöôïc chia ñöôïc ghi nhaän vaøo doanh thu hoïat ñoäng taøi chính trong kyø.</t>
  </si>
  <si>
    <t>Caùc khoûan khaùc töø coâng ty lieân keát maø nhaø ñaàu tö nhaän ñöôïc ngoaøi coå töùc vaø lôïi nhuaän ñöôïc chia ñöôïc coi laø phaàn thu hoài cuûa caùc khoûan ñaàu tö vaø ñöôïc ghi giaûm giaù goác khoûan ñaàu tö.</t>
  </si>
  <si>
    <t>(b) Khoaûn ñaàu tö vaøo coâng ty con ñöôïc ghi nhaän theo giaù goác.</t>
  </si>
  <si>
    <t>Nguyeân taéc ghi nhaän caùc khoaûn ñaàu tö chöùng khoaùn ngaén haïn, daøi haïn: Caùc khoaûn ñaàu tö chöùng khoaùn ñöôïc ghi nhaän theo giaù goác tröø caùc khoaûn döï phoøng giaûm giaù ñaàu tö chöùng khoaùn ngaén haïn, daøi haïn öôùc tính vaøo thôøi ñieåm cuoái naêm taøi chính.</t>
  </si>
  <si>
    <t>Nguyeân taéc ghi nhaän caùc khoaûn ñaàu tö ngaén haïn, daøi haïn khaùc: ñöôïc ghi nhaän theo giaù goác.</t>
  </si>
  <si>
    <t>Phöông phaùp laäp döï phoøng giaûm giaù ñaàu tö chöùng khoaùn ngaén haïn, daøi haïn:</t>
  </si>
  <si>
    <t xml:space="preserve">Cuoái kyø keá toaùn naêm, khi giaù trò thuaàn coù theå thöïc hieän ñöôïc cuûa chöùng khoaùn ñaàu tö nhoû hôn giaù goác thì phaûi laäp döï phoøng giaûm giaù ñaàu tö chöùng khoaùn. </t>
  </si>
  <si>
    <t>Soá döï phoøng giaûm giaù ñaàu tö chöùng khoaùn ñöôïc laäp laø soá cheânh leäch giöõa giaù goác cuûa chöùng khoaùn ñaàu tö lôùn hôn giaù trò thuaàn coù theå thöïc hieän ñöôïc cuûa chuùng.</t>
  </si>
  <si>
    <t>11.</t>
  </si>
  <si>
    <t>Keá toaùn caùc hoaït ñoäng lieân doanh:</t>
  </si>
  <si>
    <t>Voán goùp lieân doanh ñöôïc trình baøy treân Baùo caùo taøi chính rieâng cuûa coâng ty theo phöông phaùp giaù goác.</t>
  </si>
  <si>
    <t>Tham khaûo theâm</t>
  </si>
  <si>
    <t>Nguyeân taéc keá toaùn hoaït ñoäng lieân doanh döôùi hình thöùc: Hoaït ñoäng kinh doanh ñoàng kieåm soaùt vaø taøi saûn ñoàng kieåm soaùt, cô sôû kinh doanh ñoàng kieåm soaùt</t>
  </si>
  <si>
    <t>Giaù trò voán goùp vaøo cô sôû kinh doanh ñoàng kieåm soaùt phaûn aùnh treân taøi khoaûn “Voán goùp lieân doanh laø giaù trò voán goùp ñöôïc caùc beân tham gia lieân doanh thoáng nhaát ñaùnh giaù vaø ñöôïc chaáp thuaän trong bieân baûn goùp voán.</t>
  </si>
  <si>
    <t>Tröôøng hôïp goùp voán lieân doanh baèng vaät tö, haøng hoùa</t>
  </si>
  <si>
    <t>Neáu giaù ñaùnh giaù laïi cuûa vaät tö, haøng hoùa cao hôn giaù trò ghi treân soå keá toaùn ôû thôøi ñieåm goùp voán, thì khoaûn cheânh leäch naøy ñöôïc ghi nhaän vaøo thu nhaäp khaùc. Phaàn thu nhaäp khaùc do cheânh leäch ñaùnh giaù laïi vaät tö, haøng hoùa töông öùng vôùi lôïi ích cuûa beân goùp voán lieân doanh phaûi ñöôïc hoaõn laïi vaø ghi nhaän laø doanh thu chöa thöïc hieän. Khi cô sôû kinh doanh ñoàng kieåm soaùt baùn soá vaät tö, haøng hoùa cho beân thöù ba ñoäc laäp, khoaûn doanh thu chöa thöïc hieän naøy ñöôïc keát chuyeån vaøo thu nhaäp khaùc.</t>
  </si>
  <si>
    <t>Neáu giaù ñaùnh giaù laïi cuûa vaät tö, haøng hoùa thaáp hôn giaù trò ghi treân soå keá toaùn ôû thôøi ñieåm goùp voán, thì khoaûn cheânh leäch naøy ñöôïc ghi nhaän vaøo chi phí khaùc.</t>
  </si>
  <si>
    <t>Tröôøng hôïp goùp voán lieân doanh baèng taøi saûn coá ñònh:</t>
  </si>
  <si>
    <t>Neáu giaù ñaùnh giaù laïi cuûa TSCÑ cao hôn giaù trò ghi treân soå keá toaùn ôû thôøi ñieåm goùp voán, thì khoaûn cheânh leäch naøy ñöôïc ghi nhaän vaøo thu nhaäp khaùc. Phaàn thu nhaäp khaùc do cheânh leäch ñaùnh giaù laïi TSCÑ töông öùng vôùi phaàn voán goùp cuûa beân goùp voán lieân doanh phaûi ñöôïc hoaõn laïi vaø ghi nhaän laø doanh thu chöa thöïc hieän. Haøng naêm, khoaûn doanh thu chöa thöïc hieän naøy (laõi do ñaùnh giaù laïi TSCÑ ñöa ñi goùp voán lieân doanh) ñöôïc phaân boå daàn vaøo thu nhaäp khaùc theo thôøi gian söû duïng höõu ích döï kieán cuûa taøi saûn coá ñònh ñem ñi goùp voán lieân doanh.</t>
  </si>
  <si>
    <t>Neáu giaù ñaùnh giaù laïi cuûa TSCÑ thaáp hôn giaù trò ghi treân soå keá toaùn ôû thôøi ñieåm goùp voán, thì khoaûn cheânh leäch naøy ñöôïc ghi nhaän ngay vaøo chi phí khaùc trong kyø.]</t>
  </si>
  <si>
    <t>Khi thu hoài voán goùp lieân doanh vaøo sôû sôû kinh doanh ñoàng kieåm soaùt, caên cöù vaøo giaù trò vaät tö, taøi saûn vaø tieàn do lieân doanh traû laïi ñeå ghi giaûm soá voán ñaõ goùp. Neáu bò thieät haïi do khoâng thu hoài ñuû voán goùp thì khoaûn thieät haïi naøy ñöôïc ghi nhaän laø moät khoaûn chi phí taøi chính. Neáu giaù trò thu hoài cao hôn soá voán ñaõ goùp thì khoaûn laõi naøy ñöôïc ghi nhaän laø doanh thu hoaït ñoäng taøi chính.</t>
  </si>
  <si>
    <t>Lôïi nhuaän töø keát quaû ñaàu tö goùp voán lieân doanh vaøo cô sôû ñoàng kieåm soaùt laø khoaûn doanh thu hoaït ñoäng taøi chính vaø ñöôïc phaûn aùnh vaøo beân Coù Taøi khoaûn 515 “Doanh thu hoaït ñoäng taøi chính”. Soá lôïi nhuaän chia cho caùc beân tham gia lieân doanh coù theå ñöôïc thanh toaùn toaøn boä hoaëc thanh toaùn töøng phaàn theo moãi kyø keá toaùn vaø cuõng coù theå giöõ laïi ñeå boå sung voán goùp lieân doanh neáu caùc beân tham gia lieân doanh chaáp thuaän.</t>
  </si>
  <si>
    <t>Caùc khoaûn chi phí veà hoaït ñoäng lieân doanh phaùt sinh ñöôïc phaûn aùnh vaøo beân Nôï TK 635 “Chi phí taøi chính”.</t>
  </si>
  <si>
    <t>Caùc beân goùp voán lieân doanh vaøo cô sôû kinh doanh ñoàng kieåm soaùt coù quyeàn chuyeån nhöôïng giaù trò phaàn voán goùp cuûa mình trong lieân doanh. Tröôøng hôïp giaù trò chuyeån nhöôïng cao hôn soá voán ñaõ goùp vaøo lieân doanh thì cheânh leäch laõi do chuyeån nhöôïng voán ñöôïc phaûn aùnh vaøo beân Coù TK 515 “Doanh thu hoaït ñoäng taøi chính”. Ngöôïc laïi, neáu giaù trò chuyeån nhöôïng thaáp hôn soá voán ñaõ goùp thì cheânh leäch loã do chuyeån nhöôïng voán ñöôïc phaûn aùnh vaøo beân Nôï TK 635 “Chi phí taøi chính”.</t>
  </si>
  <si>
    <t>Ñoái vôùi cô sôû ñoàng kieåm soaùt, khi chuyeån nhöôïng phaàn voán giöõa caùc beân tham gia lieân doanh thì caùc chi phí lieân quan ñeán hoaït ñoäng chuyeån nhöôïng cuûa caùc beân khoâng haïch toaùn treân soå keá toaùn cuûa doanh nghieäp maø chæ theo doõi chi tieát nguoàn voán goùp vaø laøm thuû tuïc chuyeån ñoåi teân chuû sôû höõu treân Giaáy chöùng nhaän ñaêng kyù kinh doanh hoaëc Giaáy pheùp ñaàu tö.</t>
  </si>
  <si>
    <t>Ñoái vôùi beân lieân doanh hoaëc ñoái taùc khaùc mua laïi phaàn voán goùp cuûa caùc beân khaùc trong lieân doanh, thì phaûn aùnh phaàn voán goùp vaøo lieân doanh theo giaù thöïc teá mua (giaù mua phaàn voán goùp naøy coù theå cao hôn hoaëc thaáp hôn giaù trò soå saùch cuûa phaàn voán goùp ñöôïc chuyeån nhöôïng taïi thôøi ñieåm thöïc hieän vieäc chuyeån nhöôïng.</t>
  </si>
  <si>
    <t>Keá toaùn phaûi môû soå keá toaùn chi tieát theo doõi caùc khoaûn voán goùp lieân doanh vaøo cô sôû kinh doanh ñoàng kieåm soaùt theo töøng ñoái taùc, töøng laàn goùp vaø töøng khoaûn voán ñaõ thu hoài, chuyeån nhöôïng.</t>
  </si>
  <si>
    <t>12.</t>
  </si>
  <si>
    <t>Ghi nhaän caùc khoaûn phaûi traû thöông maïi vaø caùc khoaûn phaûi traû khaùc:</t>
  </si>
  <si>
    <t>Nôï phaûi traû ñöôïc ghi nhaän khi coù ñuû ñieàu kieän chaéc chaén laø doanh nghieäp seõ phaûi duøng moät löôïng tieàn chi ra ñeå trang traûi cho nhöõng nghóa vuï hieän taïi vaø khoûan nôï phaûi traû ñoù phaûi xaùc ñònh moät caùch ñaùng tin caäy.</t>
  </si>
  <si>
    <t>13.</t>
  </si>
  <si>
    <t>Ghi nhaän chi phí phaûi traû, trích tröôùc chi phí söûa chöõa lôùn, chi phí baûo haønh saûn phaåm, trích quyõ döï phoøng trôï caáp maát vieäc laøm: (ghi theo thöïc teá)</t>
  </si>
  <si>
    <t>Quyõ döï phoøng trôï caáp maát vieäc laøm ñöôïc trích laäp theo TT82/2003/TT-BTC ngaøy 14/8/2003 cuûa BTC, möùc trích laäp 3% quyõ löông laøm cô sôû ñoùng BHXH.</t>
  </si>
  <si>
    <t>Chi phí phaûi traû ñöôïc ghi nhaän ngay vaøo keát quaû hoaït ñoäng kinh doanh trong kyø khi chi phí ñoù khoâng ñem laïi lôïi ích kinh teá trong caùc kyø sau.</t>
  </si>
  <si>
    <t>14.</t>
  </si>
  <si>
    <t>Ghi nhaän caùc khoaûn thanh toaùn tröôùc vaø döï phoøng:</t>
  </si>
  <si>
    <t>15.</t>
  </si>
  <si>
    <t>Ghi nhaän traùi phieáu coù theå chuyeån ñoåi:</t>
  </si>
  <si>
    <t>16.</t>
  </si>
  <si>
    <t>Caùc nghieäp vuï döï phoøng ruûi ro hoái ñoaùi: (ghi theo thöïc teá)</t>
  </si>
  <si>
    <t>17.</t>
  </si>
  <si>
    <t>Nguoàn voán chuû sôû höõu:</t>
  </si>
  <si>
    <t>Ghi nhaän vaø trình baøy coå phieáu mua laïi:</t>
  </si>
  <si>
    <t>Ghi nhaän coå töùc:</t>
  </si>
  <si>
    <t>Nguyeân taéc trích laäp caùc khoaûn döï tröõ caùc quyõ töø lôïi nhuaän sau thueá:</t>
  </si>
  <si>
    <t>Nguyeân taéc ghi nhaän doanh thu:</t>
  </si>
  <si>
    <t>Nguyeân taéc ghi nhaän doanh thu baùn haøng: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</si>
</sst>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
    <font>
      <sz val="10"/>
      <name val="Arial"/>
      <family val="0"/>
    </font>
    <font>
      <sz val="10"/>
      <name val=".VnTime"/>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1" fillId="0" borderId="0" xfId="0" applyFont="1" applyAlignment="1">
      <alignment/>
    </xf>
    <xf numFmtId="165" fontId="1" fillId="0" borderId="0" xfId="15"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0"/>
  <sheetViews>
    <sheetView tabSelected="1" workbookViewId="0" topLeftCell="A97">
      <selection activeCell="F7" sqref="F1:F16384"/>
    </sheetView>
  </sheetViews>
  <sheetFormatPr defaultColWidth="9.140625" defaultRowHeight="12.75"/>
  <cols>
    <col min="1" max="1" width="47.140625" style="1" customWidth="1"/>
    <col min="2" max="3" width="9.140625" style="1" customWidth="1"/>
    <col min="4" max="5" width="19.28125" style="2" customWidth="1"/>
    <col min="6" max="16384" width="9.140625" style="1" customWidth="1"/>
  </cols>
  <sheetData>
    <row r="1" spans="1:4" ht="12.75">
      <c r="A1" s="1" t="s">
        <v>281</v>
      </c>
      <c r="D1" s="2" t="s">
        <v>282</v>
      </c>
    </row>
    <row r="3" ht="12.75">
      <c r="A3" s="1" t="s">
        <v>283</v>
      </c>
    </row>
    <row r="4" spans="1:5" ht="12.75">
      <c r="A4" s="1" t="s">
        <v>284</v>
      </c>
      <c r="B4" s="1" t="s">
        <v>285</v>
      </c>
      <c r="C4" s="1" t="s">
        <v>286</v>
      </c>
      <c r="D4" s="2" t="s">
        <v>287</v>
      </c>
      <c r="E4" s="2" t="s">
        <v>288</v>
      </c>
    </row>
    <row r="5" spans="1:5" ht="12.75">
      <c r="A5" s="1">
        <v>1</v>
      </c>
      <c r="B5" s="1">
        <v>2</v>
      </c>
      <c r="C5" s="1">
        <v>3</v>
      </c>
      <c r="D5" s="2">
        <v>4</v>
      </c>
      <c r="E5" s="2">
        <v>5</v>
      </c>
    </row>
    <row r="6" spans="1:5" ht="12.75">
      <c r="A6" s="1" t="s">
        <v>289</v>
      </c>
      <c r="B6" s="1">
        <v>100</v>
      </c>
      <c r="D6" s="2">
        <f>D7+D10+D13+D20+D23</f>
        <v>292949149924</v>
      </c>
      <c r="E6" s="2">
        <f>E7+E13+E20+E23</f>
        <v>251185271663</v>
      </c>
    </row>
    <row r="7" spans="1:5" ht="12.75">
      <c r="A7" s="1" t="s">
        <v>290</v>
      </c>
      <c r="B7" s="1">
        <v>110</v>
      </c>
      <c r="D7" s="2">
        <f>D8+D9</f>
        <v>1606091105</v>
      </c>
      <c r="E7" s="2">
        <f>E8+E9</f>
        <v>16580964472</v>
      </c>
    </row>
    <row r="8" spans="1:5" ht="12.75">
      <c r="A8" s="1" t="s">
        <v>291</v>
      </c>
      <c r="B8" s="1">
        <v>111</v>
      </c>
      <c r="C8" s="1" t="s">
        <v>292</v>
      </c>
      <c r="D8" s="2">
        <f>1316356061+289735044</f>
        <v>1606091105</v>
      </c>
      <c r="E8" s="2">
        <v>16580964472</v>
      </c>
    </row>
    <row r="9" spans="1:5" ht="12.75">
      <c r="A9" s="1" t="s">
        <v>293</v>
      </c>
      <c r="B9" s="1">
        <v>112</v>
      </c>
      <c r="D9" s="2">
        <v>0</v>
      </c>
      <c r="E9" s="2">
        <v>0</v>
      </c>
    </row>
    <row r="10" spans="1:5" ht="12.75">
      <c r="A10" s="1" t="s">
        <v>294</v>
      </c>
      <c r="B10" s="1">
        <v>120</v>
      </c>
      <c r="C10" s="1" t="s">
        <v>295</v>
      </c>
      <c r="D10" s="2">
        <v>0</v>
      </c>
      <c r="E10" s="2">
        <v>0</v>
      </c>
    </row>
    <row r="11" spans="1:5" ht="12.75">
      <c r="A11" s="1" t="s">
        <v>296</v>
      </c>
      <c r="B11" s="1">
        <v>121</v>
      </c>
      <c r="D11" s="2">
        <v>0</v>
      </c>
      <c r="E11" s="2">
        <v>0</v>
      </c>
    </row>
    <row r="12" spans="1:5" ht="12.75">
      <c r="A12" s="1" t="s">
        <v>297</v>
      </c>
      <c r="B12" s="1">
        <v>129</v>
      </c>
      <c r="D12" s="2">
        <v>0</v>
      </c>
      <c r="E12" s="2">
        <v>0</v>
      </c>
    </row>
    <row r="13" spans="1:5" ht="12.75">
      <c r="A13" s="1" t="s">
        <v>298</v>
      </c>
      <c r="B13" s="1">
        <v>130</v>
      </c>
      <c r="D13" s="2">
        <f>SUM(D14:D19)</f>
        <v>81776512900</v>
      </c>
      <c r="E13" s="2">
        <f>SUM(E14:E19)</f>
        <v>86529400332</v>
      </c>
    </row>
    <row r="14" spans="1:5" ht="12.75">
      <c r="A14" s="1" t="s">
        <v>299</v>
      </c>
      <c r="B14" s="1">
        <v>131</v>
      </c>
      <c r="D14" s="2">
        <f>36636084256+15197663620</f>
        <v>51833747876</v>
      </c>
      <c r="E14" s="2">
        <v>42681978046</v>
      </c>
    </row>
    <row r="15" spans="1:5" ht="12.75">
      <c r="A15" s="1" t="s">
        <v>300</v>
      </c>
      <c r="B15" s="1">
        <v>132</v>
      </c>
      <c r="D15" s="2">
        <f>25052750349+3218705235</f>
        <v>28271455584</v>
      </c>
      <c r="E15" s="2">
        <v>43235526067</v>
      </c>
    </row>
    <row r="16" spans="1:2" ht="12.75">
      <c r="A16" s="1" t="s">
        <v>301</v>
      </c>
      <c r="B16" s="1">
        <v>133</v>
      </c>
    </row>
    <row r="17" spans="1:5" ht="12.75">
      <c r="A17" s="1" t="s">
        <v>302</v>
      </c>
      <c r="B17" s="1">
        <v>134</v>
      </c>
      <c r="D17" s="2">
        <v>0</v>
      </c>
      <c r="E17" s="2">
        <v>0</v>
      </c>
    </row>
    <row r="18" spans="1:5" ht="12.75">
      <c r="A18" s="1" t="s">
        <v>303</v>
      </c>
      <c r="B18" s="1">
        <v>138</v>
      </c>
      <c r="C18" s="1" t="s">
        <v>304</v>
      </c>
      <c r="D18" s="2">
        <f>1650783287+1585712957-1565186804</f>
        <v>1671309440</v>
      </c>
      <c r="E18" s="2">
        <v>611896219</v>
      </c>
    </row>
    <row r="19" spans="1:5" ht="12.75">
      <c r="A19" s="1" t="s">
        <v>305</v>
      </c>
      <c r="B19" s="1">
        <v>139</v>
      </c>
      <c r="D19" s="2">
        <v>0</v>
      </c>
      <c r="E19" s="2">
        <v>0</v>
      </c>
    </row>
    <row r="20" spans="1:5" ht="12.75">
      <c r="A20" s="1" t="s">
        <v>306</v>
      </c>
      <c r="B20" s="1">
        <v>140</v>
      </c>
      <c r="D20" s="2">
        <f>D21+D22</f>
        <v>200888551418</v>
      </c>
      <c r="E20" s="2">
        <f>E21+E22</f>
        <v>141593038236</v>
      </c>
    </row>
    <row r="21" spans="1:5" ht="12.75">
      <c r="A21" s="1" t="s">
        <v>307</v>
      </c>
      <c r="B21" s="1">
        <v>141</v>
      </c>
      <c r="C21" s="1" t="s">
        <v>308</v>
      </c>
      <c r="D21" s="2">
        <f>178107704789+22779396629+1450000</f>
        <v>200888551418</v>
      </c>
      <c r="E21" s="2">
        <v>141593038236</v>
      </c>
    </row>
    <row r="22" spans="1:5" ht="12.75">
      <c r="A22" s="1" t="s">
        <v>309</v>
      </c>
      <c r="B22" s="1">
        <v>149</v>
      </c>
      <c r="D22" s="2">
        <v>0</v>
      </c>
      <c r="E22" s="2">
        <v>0</v>
      </c>
    </row>
    <row r="23" spans="1:5" ht="12.75">
      <c r="A23" s="1" t="s">
        <v>310</v>
      </c>
      <c r="B23" s="1">
        <v>150</v>
      </c>
      <c r="D23" s="2">
        <f>SUM(D24:D27)</f>
        <v>8677994501</v>
      </c>
      <c r="E23" s="2">
        <f>SUM(E24:E27)</f>
        <v>6481868623</v>
      </c>
    </row>
    <row r="24" spans="1:5" ht="12.75">
      <c r="A24" s="1" t="s">
        <v>311</v>
      </c>
      <c r="B24" s="1">
        <v>151</v>
      </c>
      <c r="D24" s="2">
        <f>269991987+50548378</f>
        <v>320540365</v>
      </c>
      <c r="E24" s="2">
        <v>323247758</v>
      </c>
    </row>
    <row r="25" spans="1:5" ht="12.75">
      <c r="A25" s="1" t="s">
        <v>312</v>
      </c>
      <c r="B25" s="1">
        <v>152</v>
      </c>
      <c r="C25" s="1" t="s">
        <v>313</v>
      </c>
      <c r="D25" s="2">
        <f>2749772100</f>
        <v>2749772100</v>
      </c>
      <c r="E25" s="2">
        <v>1063150743</v>
      </c>
    </row>
    <row r="26" ht="12.75">
      <c r="A26" s="1" t="s">
        <v>314</v>
      </c>
    </row>
    <row r="27" spans="1:5" ht="12.75">
      <c r="A27" s="1" t="s">
        <v>315</v>
      </c>
      <c r="B27" s="1">
        <v>158</v>
      </c>
      <c r="D27" s="2">
        <f>3464315233+2144816803-1450000</f>
        <v>5607682036</v>
      </c>
      <c r="E27" s="2">
        <v>5095470122</v>
      </c>
    </row>
    <row r="28" spans="1:5" ht="12.75">
      <c r="A28" s="1" t="s">
        <v>316</v>
      </c>
      <c r="B28" s="1">
        <v>200</v>
      </c>
      <c r="D28" s="2">
        <f>D29+D34+D45+D48+D53+D54</f>
        <v>166962985858</v>
      </c>
      <c r="E28" s="2">
        <f>E29+E34+E45+E48+E54</f>
        <v>50406392308</v>
      </c>
    </row>
    <row r="29" spans="1:5" ht="12.75">
      <c r="A29" s="1" t="s">
        <v>317</v>
      </c>
      <c r="B29" s="1">
        <v>210</v>
      </c>
      <c r="D29" s="2">
        <f>SUM(D30:D33)</f>
        <v>0</v>
      </c>
      <c r="E29" s="2">
        <f>SUM(E30:E33)</f>
        <v>0</v>
      </c>
    </row>
    <row r="30" spans="1:5" ht="12.75">
      <c r="A30" s="1" t="s">
        <v>318</v>
      </c>
      <c r="B30" s="1">
        <v>211</v>
      </c>
      <c r="D30" s="2">
        <v>0</v>
      </c>
      <c r="E30" s="2">
        <v>0</v>
      </c>
    </row>
    <row r="31" spans="1:5" ht="12.75">
      <c r="A31" s="1" t="s">
        <v>319</v>
      </c>
      <c r="B31" s="1">
        <v>213</v>
      </c>
      <c r="C31" s="1" t="s">
        <v>320</v>
      </c>
      <c r="D31" s="2">
        <v>0</v>
      </c>
      <c r="E31" s="2">
        <v>0</v>
      </c>
    </row>
    <row r="32" spans="1:3" ht="12.75">
      <c r="A32" s="1" t="s">
        <v>321</v>
      </c>
      <c r="B32" s="1">
        <v>218</v>
      </c>
      <c r="C32" s="1" t="s">
        <v>322</v>
      </c>
    </row>
    <row r="33" spans="1:5" ht="12.75">
      <c r="A33" s="1" t="s">
        <v>323</v>
      </c>
      <c r="B33" s="1">
        <v>219</v>
      </c>
      <c r="D33" s="2">
        <v>0</v>
      </c>
      <c r="E33" s="2">
        <v>0</v>
      </c>
    </row>
    <row r="34" spans="1:5" ht="12.75">
      <c r="A34" s="1" t="s">
        <v>324</v>
      </c>
      <c r="B34" s="1">
        <v>220</v>
      </c>
      <c r="D34" s="2">
        <f>SUM(D35+D38+D41+D44)</f>
        <v>159927750491</v>
      </c>
      <c r="E34" s="2">
        <f>E35+E38+E41+E44</f>
        <v>50327679355</v>
      </c>
    </row>
    <row r="35" spans="1:5" ht="12.75">
      <c r="A35" s="1" t="s">
        <v>325</v>
      </c>
      <c r="B35" s="1">
        <v>221</v>
      </c>
      <c r="C35" s="1" t="s">
        <v>326</v>
      </c>
      <c r="D35" s="2">
        <f>SUM(D36:D37)</f>
        <v>53395897471</v>
      </c>
      <c r="E35" s="2">
        <f>E36+E37</f>
        <v>48989643635</v>
      </c>
    </row>
    <row r="36" spans="1:5" ht="12.75">
      <c r="A36" s="1" t="s">
        <v>327</v>
      </c>
      <c r="B36" s="1">
        <v>222</v>
      </c>
      <c r="D36" s="2">
        <f>134470368919+9824040391</f>
        <v>144294409310</v>
      </c>
      <c r="E36" s="2">
        <v>129168672761</v>
      </c>
    </row>
    <row r="37" spans="1:5" ht="12.75">
      <c r="A37" s="1" t="s">
        <v>328</v>
      </c>
      <c r="B37" s="1">
        <v>223</v>
      </c>
      <c r="D37" s="2">
        <f>-85226116611-5672395228</f>
        <v>-90898511839</v>
      </c>
      <c r="E37" s="2">
        <v>-80179029126</v>
      </c>
    </row>
    <row r="38" spans="1:5" ht="12.75">
      <c r="A38" s="1" t="s">
        <v>329</v>
      </c>
      <c r="B38" s="1">
        <v>224</v>
      </c>
      <c r="C38" s="1" t="s">
        <v>330</v>
      </c>
      <c r="D38" s="2">
        <f>SUM(D39:D40)</f>
        <v>0</v>
      </c>
      <c r="E38" s="2">
        <v>0</v>
      </c>
    </row>
    <row r="39" spans="1:5" ht="12.75">
      <c r="A39" s="1" t="s">
        <v>327</v>
      </c>
      <c r="B39" s="1">
        <v>225</v>
      </c>
      <c r="D39" s="2">
        <v>0</v>
      </c>
      <c r="E39" s="2">
        <v>0</v>
      </c>
    </row>
    <row r="40" spans="1:5" ht="12.75">
      <c r="A40" s="1" t="s">
        <v>331</v>
      </c>
      <c r="B40" s="1">
        <v>226</v>
      </c>
      <c r="E40" s="2">
        <v>0</v>
      </c>
    </row>
    <row r="41" spans="1:5" ht="12.75">
      <c r="A41" s="1" t="s">
        <v>332</v>
      </c>
      <c r="B41" s="1">
        <v>227</v>
      </c>
      <c r="C41" s="1" t="s">
        <v>333</v>
      </c>
      <c r="D41" s="2">
        <f>SUM(D42:D43)</f>
        <v>447301724</v>
      </c>
      <c r="E41" s="2">
        <f>E42+E43</f>
        <v>753909153</v>
      </c>
    </row>
    <row r="42" spans="1:5" ht="12.75">
      <c r="A42" s="1" t="s">
        <v>327</v>
      </c>
      <c r="B42" s="1">
        <v>228</v>
      </c>
      <c r="D42" s="2">
        <f>1104763000</f>
        <v>1104763000</v>
      </c>
      <c r="E42" s="2">
        <v>3233095810</v>
      </c>
    </row>
    <row r="43" spans="1:5" ht="12.75">
      <c r="A43" s="1" t="s">
        <v>328</v>
      </c>
      <c r="B43" s="1">
        <v>229</v>
      </c>
      <c r="D43" s="2">
        <f>-657461276</f>
        <v>-657461276</v>
      </c>
      <c r="E43" s="2">
        <v>-2479186657</v>
      </c>
    </row>
    <row r="44" spans="1:5" ht="12.75">
      <c r="A44" s="1" t="s">
        <v>334</v>
      </c>
      <c r="B44" s="1">
        <v>230</v>
      </c>
      <c r="C44" s="1" t="s">
        <v>335</v>
      </c>
      <c r="D44" s="2">
        <f>105819551296+265000000</f>
        <v>106084551296</v>
      </c>
      <c r="E44" s="2">
        <v>584126567</v>
      </c>
    </row>
    <row r="45" spans="1:5" ht="12.75">
      <c r="A45" s="1" t="s">
        <v>336</v>
      </c>
      <c r="B45" s="1">
        <v>240</v>
      </c>
      <c r="C45" s="1" t="s">
        <v>337</v>
      </c>
      <c r="D45" s="2">
        <v>0</v>
      </c>
      <c r="E45" s="2">
        <v>0</v>
      </c>
    </row>
    <row r="46" spans="1:5" ht="12.75">
      <c r="A46" s="1" t="s">
        <v>327</v>
      </c>
      <c r="B46" s="1">
        <v>241</v>
      </c>
      <c r="D46" s="2">
        <v>0</v>
      </c>
      <c r="E46" s="2">
        <v>0</v>
      </c>
    </row>
    <row r="47" spans="1:5" ht="12.75">
      <c r="A47" s="1" t="s">
        <v>328</v>
      </c>
      <c r="B47" s="1">
        <v>242</v>
      </c>
      <c r="D47" s="2">
        <v>0</v>
      </c>
      <c r="E47" s="2">
        <v>0</v>
      </c>
    </row>
    <row r="48" spans="1:5" ht="12.75">
      <c r="A48" s="1" t="s">
        <v>338</v>
      </c>
      <c r="B48" s="1">
        <v>250</v>
      </c>
      <c r="D48" s="2">
        <f>SUM(D49:D52)</f>
        <v>5660000000</v>
      </c>
      <c r="E48" s="2">
        <f>SUM(E49:E52)</f>
        <v>0</v>
      </c>
    </row>
    <row r="49" spans="1:2" ht="12.75">
      <c r="A49" s="1" t="s">
        <v>339</v>
      </c>
      <c r="B49" s="1">
        <v>251</v>
      </c>
    </row>
    <row r="50" spans="1:5" ht="12.75">
      <c r="A50" s="1" t="s">
        <v>340</v>
      </c>
      <c r="B50" s="1">
        <v>252</v>
      </c>
      <c r="E50" s="2">
        <v>0</v>
      </c>
    </row>
    <row r="51" spans="1:4" ht="12.75">
      <c r="A51" s="1" t="s">
        <v>341</v>
      </c>
      <c r="B51" s="1">
        <v>258</v>
      </c>
      <c r="C51" s="1" t="s">
        <v>342</v>
      </c>
      <c r="D51" s="2">
        <f>5060000000+600000000</f>
        <v>5660000000</v>
      </c>
    </row>
    <row r="52" spans="1:5" ht="12.75">
      <c r="A52" s="1" t="s">
        <v>343</v>
      </c>
      <c r="B52" s="1">
        <v>259</v>
      </c>
      <c r="D52" s="2">
        <v>0</v>
      </c>
      <c r="E52" s="2">
        <v>0</v>
      </c>
    </row>
    <row r="53" spans="1:2" ht="12.75">
      <c r="A53" s="1" t="s">
        <v>344</v>
      </c>
      <c r="B53" s="1">
        <v>260</v>
      </c>
    </row>
    <row r="54" spans="1:5" ht="12.75">
      <c r="A54" s="1" t="s">
        <v>345</v>
      </c>
      <c r="B54" s="1">
        <v>270</v>
      </c>
      <c r="D54" s="2">
        <f>SUM(D55:D57)</f>
        <v>1375235367</v>
      </c>
      <c r="E54" s="2">
        <f>SUM(E55:E57)</f>
        <v>78712953</v>
      </c>
    </row>
    <row r="55" spans="1:5" ht="12.75">
      <c r="A55" s="1" t="s">
        <v>346</v>
      </c>
      <c r="B55" s="1">
        <v>271</v>
      </c>
      <c r="C55" s="1" t="s">
        <v>347</v>
      </c>
      <c r="D55" s="2">
        <f>1375235367</f>
        <v>1375235367</v>
      </c>
      <c r="E55" s="2">
        <v>78712953</v>
      </c>
    </row>
    <row r="56" spans="1:5" ht="12.75">
      <c r="A56" s="1" t="s">
        <v>348</v>
      </c>
      <c r="B56" s="1">
        <v>272</v>
      </c>
      <c r="C56" s="1" t="s">
        <v>349</v>
      </c>
      <c r="D56" s="2">
        <v>0</v>
      </c>
      <c r="E56" s="2">
        <v>0</v>
      </c>
    </row>
    <row r="57" spans="1:4" ht="12.75">
      <c r="A57" s="1" t="s">
        <v>350</v>
      </c>
      <c r="B57" s="1">
        <v>278</v>
      </c>
      <c r="D57" s="2">
        <v>0</v>
      </c>
    </row>
    <row r="58" spans="1:5" ht="12.75">
      <c r="A58" s="1" t="s">
        <v>351</v>
      </c>
      <c r="B58" s="1">
        <v>280</v>
      </c>
      <c r="D58" s="2">
        <f>D6+D28</f>
        <v>459912135782</v>
      </c>
      <c r="E58" s="2">
        <f>E28+E6</f>
        <v>301591663971</v>
      </c>
    </row>
    <row r="64" spans="1:5" ht="12.75">
      <c r="A64" s="1" t="s">
        <v>352</v>
      </c>
      <c r="B64" s="1" t="s">
        <v>285</v>
      </c>
      <c r="C64" s="1" t="s">
        <v>286</v>
      </c>
      <c r="D64" s="2" t="s">
        <v>287</v>
      </c>
      <c r="E64" s="2" t="s">
        <v>288</v>
      </c>
    </row>
    <row r="65" spans="1:5" ht="12.75">
      <c r="A65" s="1">
        <v>1</v>
      </c>
      <c r="B65" s="1">
        <v>2</v>
      </c>
      <c r="C65" s="1">
        <v>3</v>
      </c>
      <c r="D65" s="2">
        <v>4</v>
      </c>
      <c r="E65" s="2">
        <v>5</v>
      </c>
    </row>
    <row r="66" spans="1:5" ht="12.75">
      <c r="A66" s="1" t="s">
        <v>353</v>
      </c>
      <c r="B66" s="1">
        <v>300</v>
      </c>
      <c r="D66" s="2">
        <f>D67+D78</f>
        <v>415896501673</v>
      </c>
      <c r="E66" s="2">
        <f>E67+E78</f>
        <v>258239009793</v>
      </c>
    </row>
    <row r="67" spans="1:5" ht="12.75">
      <c r="A67" s="1" t="s">
        <v>354</v>
      </c>
      <c r="B67" s="1">
        <v>310</v>
      </c>
      <c r="D67" s="2">
        <f>SUM(D68:D77)</f>
        <v>263339314422</v>
      </c>
      <c r="E67" s="2">
        <f>SUM(E68:E77)</f>
        <v>217534498977</v>
      </c>
    </row>
    <row r="68" spans="1:5" ht="12.75">
      <c r="A68" s="1" t="s">
        <v>355</v>
      </c>
      <c r="B68" s="1">
        <v>311</v>
      </c>
      <c r="C68" s="1" t="s">
        <v>356</v>
      </c>
      <c r="D68" s="2">
        <f>74457578926+9144534273</f>
        <v>83602113199</v>
      </c>
      <c r="E68" s="2">
        <v>107429277746</v>
      </c>
    </row>
    <row r="69" spans="1:5" ht="12.75">
      <c r="A69" s="1" t="s">
        <v>357</v>
      </c>
      <c r="B69" s="1">
        <v>312</v>
      </c>
      <c r="D69" s="2">
        <f>69330196397+7177507655</f>
        <v>76507704052</v>
      </c>
      <c r="E69" s="2">
        <v>58129929828</v>
      </c>
    </row>
    <row r="70" spans="1:5" ht="12.75">
      <c r="A70" s="1" t="s">
        <v>358</v>
      </c>
      <c r="B70" s="1">
        <v>313</v>
      </c>
      <c r="D70" s="2">
        <f>49268571834+12690331847</f>
        <v>61958903681</v>
      </c>
      <c r="E70" s="2">
        <v>15936132557</v>
      </c>
    </row>
    <row r="71" spans="1:5" ht="12.75">
      <c r="A71" s="1" t="s">
        <v>359</v>
      </c>
      <c r="B71" s="1">
        <v>314</v>
      </c>
      <c r="C71" s="1" t="s">
        <v>360</v>
      </c>
      <c r="D71" s="2">
        <f>1561538187+441164342</f>
        <v>2002702529</v>
      </c>
      <c r="E71" s="2">
        <v>3365414857</v>
      </c>
    </row>
    <row r="72" spans="1:5" ht="12.75">
      <c r="A72" s="1" t="s">
        <v>361</v>
      </c>
      <c r="B72" s="1">
        <v>315</v>
      </c>
      <c r="D72" s="2">
        <f>10177129811+2280060336</f>
        <v>12457190147</v>
      </c>
      <c r="E72" s="2">
        <v>12142850841</v>
      </c>
    </row>
    <row r="73" spans="1:5" ht="12.75">
      <c r="A73" s="1" t="s">
        <v>362</v>
      </c>
      <c r="B73" s="1">
        <v>316</v>
      </c>
      <c r="C73" s="1" t="s">
        <v>363</v>
      </c>
      <c r="D73" s="2">
        <f>1083116776+487915335</f>
        <v>1571032111</v>
      </c>
      <c r="E73" s="2">
        <v>5819434726</v>
      </c>
    </row>
    <row r="74" spans="1:2" ht="12.75">
      <c r="A74" s="1" t="s">
        <v>364</v>
      </c>
      <c r="B74" s="1">
        <v>317</v>
      </c>
    </row>
    <row r="75" spans="1:5" ht="12.75">
      <c r="A75" s="1" t="s">
        <v>365</v>
      </c>
      <c r="B75" s="1">
        <v>318</v>
      </c>
      <c r="D75" s="2">
        <v>0</v>
      </c>
      <c r="E75" s="2">
        <v>0</v>
      </c>
    </row>
    <row r="76" spans="1:5" ht="12.75">
      <c r="A76" s="1" t="s">
        <v>366</v>
      </c>
      <c r="B76" s="1">
        <v>319</v>
      </c>
      <c r="C76" s="1" t="s">
        <v>367</v>
      </c>
      <c r="D76" s="2">
        <f>23158068451+3646787056-1565186804</f>
        <v>25239668703</v>
      </c>
      <c r="E76" s="2">
        <v>14711458422</v>
      </c>
    </row>
    <row r="77" spans="1:2" ht="12.75">
      <c r="A77" s="1" t="s">
        <v>368</v>
      </c>
      <c r="B77" s="1">
        <v>320</v>
      </c>
    </row>
    <row r="78" spans="1:5" ht="12.75">
      <c r="A78" s="1" t="s">
        <v>369</v>
      </c>
      <c r="B78" s="1">
        <v>330</v>
      </c>
      <c r="D78" s="2">
        <f>SUM(D79:D83)+D84</f>
        <v>152557187251</v>
      </c>
      <c r="E78" s="2">
        <f>SUM(E79:E85)</f>
        <v>40704510816</v>
      </c>
    </row>
    <row r="79" spans="1:5" ht="12.75">
      <c r="A79" s="1" t="s">
        <v>370</v>
      </c>
      <c r="B79" s="1">
        <v>331</v>
      </c>
      <c r="E79" s="2">
        <v>0</v>
      </c>
    </row>
    <row r="80" spans="1:5" ht="12.75">
      <c r="A80" s="1" t="s">
        <v>371</v>
      </c>
      <c r="B80" s="1">
        <f aca="true" t="shared" si="0" ref="B80:B85">B79+1</f>
        <v>332</v>
      </c>
      <c r="C80" s="1" t="s">
        <v>372</v>
      </c>
      <c r="D80" s="2">
        <v>0</v>
      </c>
      <c r="E80" s="2">
        <v>0</v>
      </c>
    </row>
    <row r="81" spans="1:5" ht="12.75">
      <c r="A81" s="1" t="s">
        <v>373</v>
      </c>
      <c r="B81" s="1">
        <f t="shared" si="0"/>
        <v>333</v>
      </c>
      <c r="D81" s="2">
        <v>0</v>
      </c>
      <c r="E81" s="2">
        <v>0</v>
      </c>
    </row>
    <row r="82" spans="1:5" ht="12.75">
      <c r="A82" s="1" t="s">
        <v>374</v>
      </c>
      <c r="B82" s="1">
        <f t="shared" si="0"/>
        <v>334</v>
      </c>
      <c r="C82" s="1" t="s">
        <v>375</v>
      </c>
      <c r="D82" s="2">
        <f>152182526190</f>
        <v>152182526190</v>
      </c>
      <c r="E82" s="2">
        <v>40519288525</v>
      </c>
    </row>
    <row r="83" spans="1:5" ht="12.75">
      <c r="A83" s="1" t="s">
        <v>376</v>
      </c>
      <c r="B83" s="1">
        <f t="shared" si="0"/>
        <v>335</v>
      </c>
      <c r="C83" s="1" t="s">
        <v>349</v>
      </c>
      <c r="D83" s="2">
        <v>0</v>
      </c>
      <c r="E83" s="2">
        <v>0</v>
      </c>
    </row>
    <row r="84" spans="1:5" ht="12.75">
      <c r="A84" s="1" t="s">
        <v>377</v>
      </c>
      <c r="B84" s="1">
        <f t="shared" si="0"/>
        <v>336</v>
      </c>
      <c r="D84" s="2">
        <f>101692554+272968507</f>
        <v>374661061</v>
      </c>
      <c r="E84" s="2">
        <v>185222291</v>
      </c>
    </row>
    <row r="85" spans="1:2" ht="12.75">
      <c r="A85" s="1" t="s">
        <v>378</v>
      </c>
      <c r="B85" s="1">
        <f t="shared" si="0"/>
        <v>337</v>
      </c>
    </row>
    <row r="86" spans="1:5" ht="12.75">
      <c r="A86" s="1" t="s">
        <v>379</v>
      </c>
      <c r="B86" s="1">
        <v>400</v>
      </c>
      <c r="D86" s="2">
        <f>D87+D99</f>
        <v>37086076415</v>
      </c>
      <c r="E86" s="2">
        <f>E87+E99</f>
        <v>36550698622</v>
      </c>
    </row>
    <row r="87" spans="1:5" ht="12.75">
      <c r="A87" s="1" t="s">
        <v>380</v>
      </c>
      <c r="B87" s="1">
        <v>410</v>
      </c>
      <c r="C87" s="1" t="s">
        <v>381</v>
      </c>
      <c r="D87" s="2">
        <f>SUM(D88:D98)</f>
        <v>35124290820</v>
      </c>
      <c r="E87" s="2">
        <f>SUM(E88:E98)</f>
        <v>35833470016</v>
      </c>
    </row>
    <row r="88" spans="1:5" ht="12.75">
      <c r="A88" s="1" t="s">
        <v>382</v>
      </c>
      <c r="B88" s="1">
        <v>411</v>
      </c>
      <c r="D88" s="2">
        <f>22000000000</f>
        <v>22000000000</v>
      </c>
      <c r="E88" s="2">
        <v>22000000000</v>
      </c>
    </row>
    <row r="89" spans="1:5" ht="12.75">
      <c r="A89" s="1" t="s">
        <v>383</v>
      </c>
      <c r="B89" s="1">
        <v>412</v>
      </c>
      <c r="D89" s="2">
        <v>0</v>
      </c>
      <c r="E89" s="2">
        <v>0</v>
      </c>
    </row>
    <row r="90" spans="1:2" ht="12.75">
      <c r="A90" s="1" t="s">
        <v>384</v>
      </c>
      <c r="B90" s="1">
        <f>B89+1</f>
        <v>413</v>
      </c>
    </row>
    <row r="91" spans="1:7" ht="12.75">
      <c r="A91" s="1" t="s">
        <v>385</v>
      </c>
      <c r="B91" s="1">
        <f aca="true" t="shared" si="1" ref="B91:B98">B90+1</f>
        <v>414</v>
      </c>
      <c r="D91" s="2">
        <v>0</v>
      </c>
      <c r="E91" s="2">
        <v>0</v>
      </c>
      <c r="F91" s="1" t="e">
        <f>4336018099-#REF!</f>
        <v>#REF!</v>
      </c>
      <c r="G91" s="1" t="e">
        <f>F91-#REF!</f>
        <v>#REF!</v>
      </c>
    </row>
    <row r="92" spans="1:7" ht="12.75">
      <c r="A92" s="1" t="s">
        <v>386</v>
      </c>
      <c r="B92" s="1">
        <f t="shared" si="1"/>
        <v>415</v>
      </c>
      <c r="D92" s="2">
        <v>0</v>
      </c>
      <c r="E92" s="2">
        <v>0</v>
      </c>
      <c r="F92" s="1" t="e">
        <f>653243403-#REF!</f>
        <v>#REF!</v>
      </c>
      <c r="G92" s="1" t="e">
        <f>F92-#REF!</f>
        <v>#REF!</v>
      </c>
    </row>
    <row r="93" spans="1:7" ht="12.75">
      <c r="A93" s="1" t="s">
        <v>387</v>
      </c>
      <c r="B93" s="1">
        <f t="shared" si="1"/>
        <v>416</v>
      </c>
      <c r="D93" s="2">
        <f>-22383499</f>
        <v>-22383499</v>
      </c>
      <c r="E93" s="2">
        <v>-22383499</v>
      </c>
      <c r="F93" s="1" t="e">
        <f>1595628769-#REF!</f>
        <v>#REF!</v>
      </c>
      <c r="G93" s="1" t="e">
        <f>F93-#REF!</f>
        <v>#REF!</v>
      </c>
    </row>
    <row r="94" spans="1:7" ht="12.75">
      <c r="A94" s="1" t="s">
        <v>388</v>
      </c>
      <c r="B94" s="1">
        <f t="shared" si="1"/>
        <v>417</v>
      </c>
      <c r="D94" s="2">
        <f>4855804119+2211369230</f>
        <v>7067173349</v>
      </c>
      <c r="E94" s="2">
        <v>2423747935</v>
      </c>
      <c r="F94" s="1" t="e">
        <f>557064207-#REF!</f>
        <v>#REF!</v>
      </c>
      <c r="G94" s="1" t="e">
        <f>F94-#REF!</f>
        <v>#REF!</v>
      </c>
    </row>
    <row r="95" spans="1:5" ht="12.75">
      <c r="A95" s="1" t="s">
        <v>389</v>
      </c>
      <c r="B95" s="1">
        <f t="shared" si="1"/>
        <v>418</v>
      </c>
      <c r="D95" s="2">
        <f>690463000+333154136</f>
        <v>1023617136</v>
      </c>
      <c r="E95" s="2">
        <v>541241783</v>
      </c>
    </row>
    <row r="96" spans="1:5" ht="12.75">
      <c r="A96" s="1" t="s">
        <v>390</v>
      </c>
      <c r="B96" s="1">
        <f t="shared" si="1"/>
        <v>419</v>
      </c>
      <c r="E96" s="2">
        <v>0</v>
      </c>
    </row>
    <row r="97" spans="1:5" ht="12.75">
      <c r="A97" s="1" t="s">
        <v>391</v>
      </c>
      <c r="B97" s="1">
        <f t="shared" si="1"/>
        <v>420</v>
      </c>
      <c r="D97" s="2">
        <f>4242113162+813770672</f>
        <v>5055883834</v>
      </c>
      <c r="E97" s="2">
        <v>10890863797</v>
      </c>
    </row>
    <row r="98" spans="1:2" ht="12.75">
      <c r="A98" s="1" t="s">
        <v>392</v>
      </c>
      <c r="B98" s="1">
        <f t="shared" si="1"/>
        <v>421</v>
      </c>
    </row>
    <row r="99" spans="1:5" ht="12.75">
      <c r="A99" s="1" t="s">
        <v>393</v>
      </c>
      <c r="B99" s="1">
        <v>430</v>
      </c>
      <c r="D99" s="2">
        <f>SUM(D100:D102)</f>
        <v>1961785595</v>
      </c>
      <c r="E99" s="2">
        <f>E100</f>
        <v>717228606</v>
      </c>
    </row>
    <row r="100" spans="1:5" ht="12.75">
      <c r="A100" s="1" t="s">
        <v>394</v>
      </c>
      <c r="B100" s="1">
        <f>B99+1</f>
        <v>431</v>
      </c>
      <c r="D100" s="2">
        <f>1677682849+284102746</f>
        <v>1961785595</v>
      </c>
      <c r="E100" s="2">
        <v>717228606</v>
      </c>
    </row>
    <row r="101" spans="1:5" ht="12.75">
      <c r="A101" s="1" t="s">
        <v>395</v>
      </c>
      <c r="B101" s="1">
        <f>B100+1</f>
        <v>432</v>
      </c>
      <c r="C101" s="1" t="s">
        <v>396</v>
      </c>
      <c r="D101" s="2">
        <v>0</v>
      </c>
      <c r="E101" s="2">
        <v>0</v>
      </c>
    </row>
    <row r="102" spans="1:5" ht="12.75">
      <c r="A102" s="1" t="s">
        <v>397</v>
      </c>
      <c r="B102" s="1">
        <v>433</v>
      </c>
      <c r="D102" s="2">
        <v>0</v>
      </c>
      <c r="E102" s="2">
        <v>0</v>
      </c>
    </row>
    <row r="103" spans="1:5" ht="12.75">
      <c r="A103" s="1" t="s">
        <v>398</v>
      </c>
      <c r="B103" s="1">
        <v>500</v>
      </c>
      <c r="D103" s="2">
        <f>7000000000-3570000000+1752135904</f>
        <v>5182135904</v>
      </c>
      <c r="E103" s="2">
        <v>5110717370</v>
      </c>
    </row>
    <row r="104" spans="1:5" ht="12.75">
      <c r="A104" s="1" t="s">
        <v>399</v>
      </c>
      <c r="D104" s="2">
        <v>6929557694</v>
      </c>
      <c r="E104" s="2">
        <v>6801955556</v>
      </c>
    </row>
    <row r="105" spans="1:5" ht="12.75">
      <c r="A105" s="1" t="s">
        <v>400</v>
      </c>
      <c r="B105" s="1">
        <v>440</v>
      </c>
      <c r="D105" s="2">
        <f>D86+D66+D104</f>
        <v>459912135782</v>
      </c>
      <c r="E105" s="2">
        <f>E86+E66+E104</f>
        <v>301591663971</v>
      </c>
    </row>
    <row r="107" ht="12.75">
      <c r="A107" s="1" t="s">
        <v>401</v>
      </c>
    </row>
    <row r="109" spans="1:5" ht="12.75">
      <c r="A109" s="1" t="s">
        <v>402</v>
      </c>
      <c r="C109" s="1" t="s">
        <v>286</v>
      </c>
      <c r="D109" s="2" t="s">
        <v>287</v>
      </c>
      <c r="E109" s="2" t="s">
        <v>288</v>
      </c>
    </row>
    <row r="110" spans="1:5" ht="12.75">
      <c r="A110" s="1" t="s">
        <v>403</v>
      </c>
      <c r="C110" s="1" t="s">
        <v>404</v>
      </c>
      <c r="D110" s="2">
        <v>157745511</v>
      </c>
      <c r="E110" s="2">
        <v>157745511</v>
      </c>
    </row>
    <row r="111" ht="12.75">
      <c r="A111" s="1" t="s">
        <v>405</v>
      </c>
    </row>
    <row r="112" spans="1:5" ht="12.75">
      <c r="A112" s="1" t="s">
        <v>406</v>
      </c>
      <c r="D112" s="2">
        <v>157745511</v>
      </c>
      <c r="E112" s="2">
        <v>157745511</v>
      </c>
    </row>
    <row r="113" spans="1:5" ht="12.75">
      <c r="A113" s="1" t="s">
        <v>407</v>
      </c>
      <c r="D113" s="2">
        <v>73497465</v>
      </c>
      <c r="E113" s="2">
        <v>73497465</v>
      </c>
    </row>
    <row r="114" ht="12.75">
      <c r="A114" s="1" t="s">
        <v>408</v>
      </c>
    </row>
    <row r="115" ht="12.75">
      <c r="A115" s="1" t="s">
        <v>409</v>
      </c>
    </row>
    <row r="116" ht="12.75">
      <c r="A116" s="1" t="s">
        <v>410</v>
      </c>
    </row>
    <row r="117" ht="12.75">
      <c r="A117" s="1" t="s">
        <v>411</v>
      </c>
    </row>
    <row r="119" ht="12.75">
      <c r="C119" s="1" t="s">
        <v>412</v>
      </c>
    </row>
    <row r="120" spans="1:3" ht="12.75">
      <c r="A120" s="1" t="s">
        <v>413</v>
      </c>
      <c r="C120" s="1" t="s">
        <v>414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32"/>
  <sheetViews>
    <sheetView workbookViewId="0" topLeftCell="A9">
      <selection activeCell="F7" sqref="F7"/>
    </sheetView>
  </sheetViews>
  <sheetFormatPr defaultColWidth="9.140625" defaultRowHeight="12.75"/>
  <cols>
    <col min="1" max="1" width="51.8515625" style="1" customWidth="1"/>
    <col min="2" max="2" width="7.140625" style="1" customWidth="1"/>
    <col min="3" max="3" width="9.28125" style="1" bestFit="1" customWidth="1"/>
    <col min="4" max="4" width="19.7109375" style="1" customWidth="1"/>
    <col min="5" max="5" width="22.57421875" style="1" customWidth="1"/>
    <col min="6" max="6" width="14.57421875" style="1" customWidth="1"/>
    <col min="7" max="8" width="12.00390625" style="1" bestFit="1" customWidth="1"/>
    <col min="9" max="16384" width="9.140625" style="1" customWidth="1"/>
  </cols>
  <sheetData>
    <row r="1" spans="1:4" ht="12.75">
      <c r="A1" s="1" t="s">
        <v>415</v>
      </c>
      <c r="D1" s="1" t="s">
        <v>416</v>
      </c>
    </row>
    <row r="3" ht="12.75">
      <c r="A3" s="1" t="s">
        <v>417</v>
      </c>
    </row>
    <row r="4" ht="12.75">
      <c r="A4" s="1" t="s">
        <v>418</v>
      </c>
    </row>
    <row r="5" spans="1:5" ht="12.75">
      <c r="A5" s="1" t="s">
        <v>419</v>
      </c>
      <c r="E5" s="1" t="s">
        <v>420</v>
      </c>
    </row>
    <row r="6" spans="1:5" ht="12.75">
      <c r="A6" s="1" t="s">
        <v>402</v>
      </c>
      <c r="B6" s="1" t="s">
        <v>421</v>
      </c>
      <c r="C6" s="1" t="s">
        <v>286</v>
      </c>
      <c r="D6" s="1" t="s">
        <v>422</v>
      </c>
      <c r="E6" s="1" t="s">
        <v>423</v>
      </c>
    </row>
    <row r="7" ht="12.75">
      <c r="B7" s="1" t="s">
        <v>424</v>
      </c>
    </row>
    <row r="8" spans="1:5" ht="12.75">
      <c r="A8" s="1">
        <v>1</v>
      </c>
      <c r="B8" s="1">
        <v>2</v>
      </c>
      <c r="C8" s="1">
        <v>3</v>
      </c>
      <c r="D8" s="1">
        <v>4</v>
      </c>
      <c r="E8" s="1">
        <v>5</v>
      </c>
    </row>
    <row r="9" spans="1:8" ht="12.75">
      <c r="A9" s="1" t="s">
        <v>425</v>
      </c>
      <c r="B9" s="1" t="s">
        <v>426</v>
      </c>
      <c r="C9" s="1" t="s">
        <v>427</v>
      </c>
      <c r="D9" s="1">
        <f>E9-63005823232</f>
        <v>68361602994</v>
      </c>
      <c r="E9" s="1">
        <f>93004456472+38362969754</f>
        <v>131367426226</v>
      </c>
      <c r="F9" s="1">
        <v>216061151488</v>
      </c>
      <c r="G9" s="1">
        <f>E9-H9</f>
        <v>68361602994</v>
      </c>
      <c r="H9" s="1">
        <v>63005823232</v>
      </c>
    </row>
    <row r="10" spans="1:8" ht="12.75">
      <c r="A10" s="1" t="s">
        <v>428</v>
      </c>
      <c r="B10" s="1" t="s">
        <v>429</v>
      </c>
      <c r="D10" s="1">
        <f>E10-426917465</f>
        <v>1558969380</v>
      </c>
      <c r="E10" s="1">
        <f>1581209904+404676941</f>
        <v>1985886845</v>
      </c>
      <c r="F10" s="1">
        <v>102679863</v>
      </c>
      <c r="G10" s="1">
        <f aca="true" t="shared" si="0" ref="G10:G29">E10-H10</f>
        <v>1558969380</v>
      </c>
      <c r="H10" s="1">
        <v>426917465</v>
      </c>
    </row>
    <row r="11" spans="1:8" ht="12.75">
      <c r="A11" s="1" t="s">
        <v>430</v>
      </c>
      <c r="B11" s="1">
        <v>10</v>
      </c>
      <c r="D11" s="1">
        <f>D9-D10</f>
        <v>66802633614</v>
      </c>
      <c r="E11" s="1">
        <f>E9-E10</f>
        <v>129381539381</v>
      </c>
      <c r="F11" s="1">
        <f>F9-F10</f>
        <v>215958471625</v>
      </c>
      <c r="G11" s="1">
        <f t="shared" si="0"/>
        <v>66802633614</v>
      </c>
      <c r="H11" s="1">
        <v>62578905767</v>
      </c>
    </row>
    <row r="12" spans="1:8" ht="12.75">
      <c r="A12" s="1" t="s">
        <v>431</v>
      </c>
      <c r="B12" s="1">
        <v>11</v>
      </c>
      <c r="C12" s="1" t="s">
        <v>432</v>
      </c>
      <c r="D12" s="1">
        <f>E12-H12</f>
        <v>50610485750</v>
      </c>
      <c r="E12" s="1">
        <f>68597476660+33236717455</f>
        <v>101834194115</v>
      </c>
      <c r="F12" s="1">
        <v>192365333873</v>
      </c>
      <c r="G12" s="1">
        <f t="shared" si="0"/>
        <v>50610485750</v>
      </c>
      <c r="H12" s="1">
        <v>51223708365</v>
      </c>
    </row>
    <row r="13" spans="1:8" ht="12.75">
      <c r="A13" s="1" t="s">
        <v>433</v>
      </c>
      <c r="B13" s="1">
        <v>20</v>
      </c>
      <c r="D13" s="1">
        <f>D11-D12</f>
        <v>16192147864</v>
      </c>
      <c r="E13" s="1">
        <f>E11-E12</f>
        <v>27547345266</v>
      </c>
      <c r="F13" s="1">
        <f>F11-F12</f>
        <v>23593137752</v>
      </c>
      <c r="G13" s="1">
        <f t="shared" si="0"/>
        <v>16192147864</v>
      </c>
      <c r="H13" s="1">
        <v>11355197402</v>
      </c>
    </row>
    <row r="14" spans="1:8" ht="12.75">
      <c r="A14" s="1" t="s">
        <v>434</v>
      </c>
      <c r="B14" s="1">
        <v>21</v>
      </c>
      <c r="C14" s="1" t="s">
        <v>435</v>
      </c>
      <c r="D14" s="1">
        <v>926270059</v>
      </c>
      <c r="E14" s="1">
        <f>190600650+1058194819</f>
        <v>1248795469</v>
      </c>
      <c r="F14" s="1">
        <v>571737693</v>
      </c>
      <c r="G14" s="1">
        <f t="shared" si="0"/>
        <v>926270059</v>
      </c>
      <c r="H14" s="1">
        <v>322525410</v>
      </c>
    </row>
    <row r="15" spans="1:8" ht="12.75">
      <c r="A15" s="1" t="s">
        <v>436</v>
      </c>
      <c r="B15" s="1">
        <v>22</v>
      </c>
      <c r="C15" s="1" t="s">
        <v>437</v>
      </c>
      <c r="D15" s="1">
        <v>4673193050</v>
      </c>
      <c r="E15" s="1">
        <f>407642292+6472252054</f>
        <v>6879894346</v>
      </c>
      <c r="F15" s="1">
        <v>7683370690</v>
      </c>
      <c r="G15" s="1">
        <f t="shared" si="0"/>
        <v>4673193050</v>
      </c>
      <c r="H15" s="1">
        <v>2206701296</v>
      </c>
    </row>
    <row r="16" spans="1:8" ht="12.75">
      <c r="A16" s="1" t="s">
        <v>438</v>
      </c>
      <c r="B16" s="1">
        <v>23</v>
      </c>
      <c r="D16" s="1">
        <f>D15</f>
        <v>4673193050</v>
      </c>
      <c r="E16" s="1">
        <f>E15</f>
        <v>6879894346</v>
      </c>
      <c r="G16" s="1">
        <f t="shared" si="0"/>
        <v>4673193050</v>
      </c>
      <c r="H16" s="1">
        <v>2206701296</v>
      </c>
    </row>
    <row r="17" spans="1:8" ht="12.75">
      <c r="A17" s="1" t="s">
        <v>439</v>
      </c>
      <c r="B17" s="1">
        <v>24</v>
      </c>
      <c r="D17" s="1">
        <v>0</v>
      </c>
      <c r="E17" s="1">
        <v>0</v>
      </c>
      <c r="G17" s="1">
        <f t="shared" si="0"/>
        <v>0</v>
      </c>
      <c r="H17" s="1">
        <v>0</v>
      </c>
    </row>
    <row r="18" spans="1:8" ht="12.75">
      <c r="A18" s="1" t="s">
        <v>440</v>
      </c>
      <c r="B18" s="1">
        <v>25</v>
      </c>
      <c r="D18" s="1">
        <v>8831714428</v>
      </c>
      <c r="E18" s="1">
        <f>2681303370+12558379517</f>
        <v>15239682887</v>
      </c>
      <c r="F18" s="1">
        <v>13311862446</v>
      </c>
      <c r="G18" s="1">
        <f t="shared" si="0"/>
        <v>8831714428</v>
      </c>
      <c r="H18" s="1">
        <v>6407968459</v>
      </c>
    </row>
    <row r="19" spans="1:8" ht="12.75">
      <c r="A19" s="1" t="s">
        <v>441</v>
      </c>
      <c r="B19" s="1">
        <v>30</v>
      </c>
      <c r="D19" s="1">
        <f>D13-D15-D18+D14</f>
        <v>3613510445</v>
      </c>
      <c r="E19" s="1">
        <f>E13-E15-E18+E14</f>
        <v>6676563502</v>
      </c>
      <c r="F19" s="1">
        <f>F13-F15-F18+F14</f>
        <v>3169642309</v>
      </c>
      <c r="G19" s="1">
        <f t="shared" si="0"/>
        <v>3613510445</v>
      </c>
      <c r="H19" s="1">
        <v>3063053057</v>
      </c>
    </row>
    <row r="20" spans="1:8" ht="12.75">
      <c r="A20" s="1" t="s">
        <v>442</v>
      </c>
      <c r="B20" s="1">
        <v>31</v>
      </c>
      <c r="D20" s="1">
        <v>122733315</v>
      </c>
      <c r="E20" s="1">
        <f>85526243+117132527</f>
        <v>202658770</v>
      </c>
      <c r="F20" s="1">
        <v>1573668562</v>
      </c>
      <c r="G20" s="1">
        <f t="shared" si="0"/>
        <v>122733315</v>
      </c>
      <c r="H20" s="1">
        <v>79925455</v>
      </c>
    </row>
    <row r="21" spans="1:8" ht="12.75">
      <c r="A21" s="1" t="s">
        <v>443</v>
      </c>
      <c r="B21" s="1">
        <v>32</v>
      </c>
      <c r="D21" s="1">
        <v>53375588</v>
      </c>
      <c r="E21" s="1">
        <f>53374300+2521</f>
        <v>53376821</v>
      </c>
      <c r="F21" s="1">
        <v>1357929692</v>
      </c>
      <c r="G21" s="1">
        <f t="shared" si="0"/>
        <v>53375588</v>
      </c>
      <c r="H21" s="1">
        <v>1233</v>
      </c>
    </row>
    <row r="22" spans="1:8" ht="12.75">
      <c r="A22" s="1" t="s">
        <v>444</v>
      </c>
      <c r="B22" s="1">
        <v>40</v>
      </c>
      <c r="D22" s="1">
        <f>D20-D21</f>
        <v>69357727</v>
      </c>
      <c r="E22" s="1">
        <f>E20-E21</f>
        <v>149281949</v>
      </c>
      <c r="F22" s="1">
        <f>F20-F21</f>
        <v>215738870</v>
      </c>
      <c r="G22" s="1">
        <f t="shared" si="0"/>
        <v>69357727</v>
      </c>
      <c r="H22" s="1">
        <v>79924222</v>
      </c>
    </row>
    <row r="23" spans="1:8" ht="12.75">
      <c r="A23" s="1" t="s">
        <v>445</v>
      </c>
      <c r="B23" s="1">
        <v>50</v>
      </c>
      <c r="D23" s="1">
        <f>D19+D22</f>
        <v>3682868172</v>
      </c>
      <c r="E23" s="1">
        <f>E19+E22</f>
        <v>6825845451</v>
      </c>
      <c r="G23" s="1">
        <f t="shared" si="0"/>
        <v>3682868172</v>
      </c>
      <c r="H23" s="1">
        <v>3142977279</v>
      </c>
    </row>
    <row r="24" spans="1:8" ht="12.75">
      <c r="A24" s="1" t="s">
        <v>446</v>
      </c>
      <c r="B24" s="1">
        <v>51</v>
      </c>
      <c r="C24" s="1" t="s">
        <v>447</v>
      </c>
      <c r="D24" s="1">
        <v>626228608</v>
      </c>
      <c r="E24" s="1">
        <f>695864843+259753520</f>
        <v>955618363</v>
      </c>
      <c r="F24" s="1">
        <f>F22+F19</f>
        <v>3385381179</v>
      </c>
      <c r="G24" s="1">
        <f t="shared" si="0"/>
        <v>626228608</v>
      </c>
      <c r="H24" s="1">
        <v>329389755</v>
      </c>
    </row>
    <row r="25" spans="1:7" ht="12.75">
      <c r="A25" s="1" t="s">
        <v>448</v>
      </c>
      <c r="B25" s="1">
        <v>52</v>
      </c>
      <c r="C25" s="1" t="s">
        <v>447</v>
      </c>
      <c r="G25" s="1">
        <f t="shared" si="0"/>
        <v>0</v>
      </c>
    </row>
    <row r="26" spans="1:8" ht="12.75">
      <c r="A26" s="1" t="s">
        <v>449</v>
      </c>
      <c r="B26" s="1">
        <v>60</v>
      </c>
      <c r="D26" s="1">
        <f>D23-D24</f>
        <v>3056639564</v>
      </c>
      <c r="E26" s="1">
        <f>E23-E24</f>
        <v>5870227088</v>
      </c>
      <c r="G26" s="1">
        <f t="shared" si="0"/>
        <v>3056639564</v>
      </c>
      <c r="H26" s="1">
        <v>2813587524</v>
      </c>
    </row>
    <row r="27" spans="1:8" ht="12.75">
      <c r="A27" s="1" t="s">
        <v>450</v>
      </c>
      <c r="D27" s="1">
        <f>805435452*0.49</f>
        <v>394663371.48</v>
      </c>
      <c r="E27" s="1">
        <f>1595628769*0.49</f>
        <v>781858096.81</v>
      </c>
      <c r="G27" s="1">
        <f t="shared" si="0"/>
        <v>394663371.47999996</v>
      </c>
      <c r="H27" s="1">
        <v>387194725.33</v>
      </c>
    </row>
    <row r="28" spans="1:8" ht="12.75">
      <c r="A28" s="1" t="s">
        <v>451</v>
      </c>
      <c r="D28" s="1">
        <f>D26-D27</f>
        <v>2661976192.52</v>
      </c>
      <c r="E28" s="1">
        <f>E26-E27</f>
        <v>5088368991.190001</v>
      </c>
      <c r="G28" s="1">
        <f t="shared" si="0"/>
        <v>2661976192.5200005</v>
      </c>
      <c r="H28" s="1">
        <v>2426392798.67</v>
      </c>
    </row>
    <row r="29" spans="1:8" ht="12.75">
      <c r="A29" s="1" t="s">
        <v>452</v>
      </c>
      <c r="B29" s="1">
        <v>70</v>
      </c>
      <c r="D29" s="1">
        <f>D28/2200000</f>
        <v>1209.9891784181818</v>
      </c>
      <c r="E29" s="1">
        <f>E28/2200000</f>
        <v>2312.894995995455</v>
      </c>
      <c r="G29" s="1">
        <f t="shared" si="0"/>
        <v>1209.989178418182</v>
      </c>
      <c r="H29" s="1">
        <v>1102.9058175772727</v>
      </c>
    </row>
    <row r="30" spans="1:5" ht="12.75">
      <c r="A30" s="1" t="s">
        <v>453</v>
      </c>
      <c r="B30" s="1">
        <v>72</v>
      </c>
      <c r="D30" s="1">
        <f>D26-D29</f>
        <v>3056638354.010822</v>
      </c>
      <c r="E30" s="1">
        <v>6908541116</v>
      </c>
    </row>
    <row r="31" ht="12.75">
      <c r="C31" s="1" t="s">
        <v>454</v>
      </c>
    </row>
    <row r="32" spans="1:3" ht="12.75">
      <c r="A32" s="1" t="s">
        <v>455</v>
      </c>
      <c r="C32" s="1" t="s">
        <v>456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6"/>
  <sheetViews>
    <sheetView workbookViewId="0" topLeftCell="A1">
      <selection activeCell="C1" sqref="C1"/>
    </sheetView>
  </sheetViews>
  <sheetFormatPr defaultColWidth="9.140625" defaultRowHeight="12.75"/>
  <cols>
    <col min="1" max="1" width="60.57421875" style="1" customWidth="1"/>
    <col min="2" max="2" width="6.421875" style="1" customWidth="1"/>
    <col min="3" max="3" width="14.140625" style="1" customWidth="1"/>
    <col min="4" max="4" width="14.57421875" style="1" customWidth="1"/>
    <col min="5" max="5" width="12.7109375" style="1" bestFit="1" customWidth="1"/>
    <col min="6" max="7" width="9.140625" style="1" customWidth="1"/>
    <col min="8" max="8" width="11.57421875" style="1" bestFit="1" customWidth="1"/>
    <col min="9" max="16384" width="9.140625" style="1" customWidth="1"/>
  </cols>
  <sheetData>
    <row r="1" ht="12.75">
      <c r="A1" s="1" t="s">
        <v>457</v>
      </c>
    </row>
    <row r="2" ht="12.75">
      <c r="A2" s="1" t="s">
        <v>282</v>
      </c>
    </row>
    <row r="4" ht="12.75">
      <c r="A4" s="1" t="s">
        <v>458</v>
      </c>
    </row>
    <row r="5" ht="12.75">
      <c r="A5" s="1" t="s">
        <v>459</v>
      </c>
    </row>
    <row r="6" ht="12.75">
      <c r="A6" s="1" t="s">
        <v>460</v>
      </c>
    </row>
    <row r="8" spans="1:5" ht="12.75">
      <c r="A8" s="1" t="s">
        <v>402</v>
      </c>
      <c r="B8" s="1" t="s">
        <v>285</v>
      </c>
      <c r="C8" s="1" t="s">
        <v>286</v>
      </c>
      <c r="D8" s="1" t="s">
        <v>461</v>
      </c>
      <c r="E8" s="1" t="s">
        <v>462</v>
      </c>
    </row>
    <row r="9" spans="1:5" ht="12.75">
      <c r="A9" s="1">
        <v>1</v>
      </c>
      <c r="B9" s="1">
        <v>2</v>
      </c>
      <c r="C9" s="1">
        <v>3</v>
      </c>
      <c r="D9" s="1">
        <v>4</v>
      </c>
      <c r="E9" s="1">
        <v>5</v>
      </c>
    </row>
    <row r="10" ht="12.75">
      <c r="A10" s="1" t="s">
        <v>463</v>
      </c>
    </row>
    <row r="11" spans="1:5" ht="12.75">
      <c r="A11" s="1" t="s">
        <v>464</v>
      </c>
      <c r="B11" s="1" t="s">
        <v>426</v>
      </c>
      <c r="D11" s="1">
        <f>105910410018+38867414247</f>
        <v>144777824265</v>
      </c>
      <c r="E11" s="1">
        <v>316354523186</v>
      </c>
    </row>
    <row r="12" spans="1:5" ht="12.75">
      <c r="A12" s="1" t="s">
        <v>465</v>
      </c>
      <c r="B12" s="1" t="s">
        <v>429</v>
      </c>
      <c r="D12" s="1">
        <f>-155618672506-26264758083</f>
        <v>-181883430589</v>
      </c>
      <c r="E12" s="1">
        <v>-136958310527</v>
      </c>
    </row>
    <row r="13" spans="1:5" ht="12.75">
      <c r="A13" s="1" t="s">
        <v>466</v>
      </c>
      <c r="B13" s="1" t="s">
        <v>467</v>
      </c>
      <c r="D13" s="1">
        <f>-20684468165-7502993474</f>
        <v>-28187461639</v>
      </c>
      <c r="E13" s="1">
        <v>-45598110381</v>
      </c>
    </row>
    <row r="14" spans="1:5" ht="12.75">
      <c r="A14" s="1" t="s">
        <v>468</v>
      </c>
      <c r="B14" s="1" t="s">
        <v>469</v>
      </c>
      <c r="D14" s="1">
        <f>-6472252054-407642292</f>
        <v>-6879894346</v>
      </c>
      <c r="E14" s="1">
        <v>-10943400192</v>
      </c>
    </row>
    <row r="15" spans="1:4" ht="12.75">
      <c r="A15" s="1" t="s">
        <v>470</v>
      </c>
      <c r="B15" s="1" t="s">
        <v>471</v>
      </c>
      <c r="D15" s="1">
        <f>-728350000-106015000</f>
        <v>-834365000</v>
      </c>
    </row>
    <row r="16" spans="1:5" ht="12.75">
      <c r="A16" s="1" t="s">
        <v>472</v>
      </c>
      <c r="B16" s="1" t="s">
        <v>473</v>
      </c>
      <c r="D16" s="1">
        <f>178735673207+69030708</f>
        <v>178804703915</v>
      </c>
      <c r="E16" s="1">
        <v>262829023416</v>
      </c>
    </row>
    <row r="17" spans="1:5" ht="12.75">
      <c r="A17" s="1" t="s">
        <v>474</v>
      </c>
      <c r="B17" s="1" t="s">
        <v>475</v>
      </c>
      <c r="D17" s="1">
        <f>-198167479883-10937578458</f>
        <v>-209105058341</v>
      </c>
      <c r="E17" s="1">
        <v>-294857897336</v>
      </c>
    </row>
    <row r="18" spans="1:5" ht="12.75">
      <c r="A18" s="1" t="s">
        <v>476</v>
      </c>
      <c r="B18" s="1">
        <v>20</v>
      </c>
      <c r="D18" s="1">
        <f>D11+D12+D13+D14+D15+D16+D17</f>
        <v>-103307681735</v>
      </c>
      <c r="E18" s="1">
        <f>E11+E12+E13+E14+E15+E16+E17</f>
        <v>90825828166</v>
      </c>
    </row>
    <row r="20" ht="12.75">
      <c r="A20" s="1" t="s">
        <v>477</v>
      </c>
    </row>
    <row r="21" spans="1:5" ht="12.75">
      <c r="A21" s="1" t="s">
        <v>478</v>
      </c>
      <c r="B21" s="1">
        <v>21</v>
      </c>
      <c r="D21" s="1">
        <v>-1087109500</v>
      </c>
      <c r="E21" s="1">
        <v>-2451248955</v>
      </c>
    </row>
    <row r="22" spans="1:5" ht="12.75">
      <c r="A22" s="1" t="s">
        <v>479</v>
      </c>
      <c r="B22" s="1">
        <v>22</v>
      </c>
      <c r="D22" s="1">
        <f>117132527+175000000</f>
        <v>292132527</v>
      </c>
      <c r="E22" s="1">
        <v>180530000</v>
      </c>
    </row>
    <row r="23" spans="1:2" ht="12.75">
      <c r="A23" s="1" t="s">
        <v>480</v>
      </c>
      <c r="B23" s="1">
        <v>23</v>
      </c>
    </row>
    <row r="24" spans="1:5" ht="12.75">
      <c r="A24" s="1" t="s">
        <v>481</v>
      </c>
      <c r="B24" s="1">
        <v>24</v>
      </c>
      <c r="D24" s="1">
        <f>2382867</f>
        <v>2382867</v>
      </c>
      <c r="E24" s="1">
        <v>364194873</v>
      </c>
    </row>
    <row r="25" spans="1:4" ht="12.75">
      <c r="A25" s="1" t="s">
        <v>482</v>
      </c>
      <c r="B25" s="1">
        <v>25</v>
      </c>
      <c r="D25" s="1">
        <f>-600000000</f>
        <v>-600000000</v>
      </c>
    </row>
    <row r="26" spans="1:2" ht="12.75">
      <c r="A26" s="1" t="s">
        <v>483</v>
      </c>
      <c r="B26" s="1">
        <v>26</v>
      </c>
    </row>
    <row r="27" spans="1:5" ht="12.75">
      <c r="A27" s="1" t="s">
        <v>484</v>
      </c>
      <c r="B27" s="1">
        <v>27</v>
      </c>
      <c r="D27" s="1">
        <f>1058194819+22028537-686000000</f>
        <v>394223356</v>
      </c>
      <c r="E27" s="1">
        <v>200863399</v>
      </c>
    </row>
    <row r="28" spans="1:5" ht="12.75">
      <c r="A28" s="1" t="s">
        <v>485</v>
      </c>
      <c r="B28" s="1">
        <v>30</v>
      </c>
      <c r="D28" s="1">
        <f>D21+D22+D23+D24+D25+D26+D27</f>
        <v>-998370750</v>
      </c>
      <c r="E28" s="1">
        <f>E21+E22+E23+E24+E25+E26+E27</f>
        <v>-1705660683</v>
      </c>
    </row>
    <row r="30" ht="12.75">
      <c r="A30" s="1" t="s">
        <v>486</v>
      </c>
    </row>
    <row r="31" spans="1:2" ht="12.75">
      <c r="A31" s="1" t="s">
        <v>487</v>
      </c>
      <c r="B31" s="1">
        <v>31</v>
      </c>
    </row>
    <row r="32" spans="1:2" ht="12.75">
      <c r="A32" s="1" t="s">
        <v>488</v>
      </c>
      <c r="B32" s="1">
        <v>32</v>
      </c>
    </row>
    <row r="33" ht="12.75">
      <c r="A33" s="1" t="s">
        <v>489</v>
      </c>
    </row>
    <row r="34" spans="1:5" ht="12.75">
      <c r="A34" s="1" t="s">
        <v>490</v>
      </c>
      <c r="B34" s="1">
        <v>33</v>
      </c>
      <c r="D34" s="1">
        <f>123175303970+17509520328</f>
        <v>140684824298</v>
      </c>
      <c r="E34" s="1">
        <v>46298915725</v>
      </c>
    </row>
    <row r="35" spans="1:5" ht="12.75">
      <c r="A35" s="1" t="s">
        <v>491</v>
      </c>
      <c r="B35" s="1">
        <v>34</v>
      </c>
      <c r="D35" s="1">
        <f>-31337007484-20016637696</f>
        <v>-51353645180</v>
      </c>
      <c r="E35" s="1">
        <v>-124064406190</v>
      </c>
    </row>
    <row r="36" spans="1:2" ht="12.75">
      <c r="A36" s="1" t="s">
        <v>492</v>
      </c>
      <c r="B36" s="1">
        <v>35</v>
      </c>
    </row>
    <row r="37" spans="1:5" ht="12.75">
      <c r="A37" s="1" t="s">
        <v>493</v>
      </c>
      <c r="B37" s="1">
        <v>36</v>
      </c>
      <c r="E37" s="1">
        <v>-514500000</v>
      </c>
    </row>
    <row r="38" spans="1:5" ht="12.75">
      <c r="A38" s="1" t="s">
        <v>494</v>
      </c>
      <c r="B38" s="1">
        <v>40</v>
      </c>
      <c r="D38" s="1">
        <f>D31+D32+D33+D34+D35+D36+D37</f>
        <v>89331179118</v>
      </c>
      <c r="E38" s="1">
        <f>E31+E32+E33+E34+E35+E36+E37</f>
        <v>-78279990465</v>
      </c>
    </row>
    <row r="39" spans="1:5" ht="12.75">
      <c r="A39" s="1" t="s">
        <v>495</v>
      </c>
      <c r="B39" s="1">
        <v>50</v>
      </c>
      <c r="D39" s="1">
        <f>D18+D28+D38</f>
        <v>-14974873367</v>
      </c>
      <c r="E39" s="1">
        <f>E18+E28+E38</f>
        <v>10840177018</v>
      </c>
    </row>
    <row r="40" spans="1:5" ht="12.75">
      <c r="A40" s="1" t="s">
        <v>496</v>
      </c>
      <c r="B40" s="1">
        <v>60</v>
      </c>
      <c r="D40" s="1">
        <f>5327871612+11253092860</f>
        <v>16580964472</v>
      </c>
      <c r="E40" s="1">
        <v>5740787454</v>
      </c>
    </row>
    <row r="41" spans="1:2" ht="12.75">
      <c r="A41" s="1" t="s">
        <v>497</v>
      </c>
      <c r="B41" s="1">
        <v>61</v>
      </c>
    </row>
    <row r="42" spans="1:5" ht="12.75">
      <c r="A42" s="1" t="s">
        <v>498</v>
      </c>
      <c r="B42" s="1">
        <v>70</v>
      </c>
      <c r="C42" s="1" t="s">
        <v>499</v>
      </c>
      <c r="D42" s="1">
        <f>D39+D40+D41</f>
        <v>1606091105</v>
      </c>
      <c r="E42" s="1">
        <f>E39+E40+E41</f>
        <v>16580964472</v>
      </c>
    </row>
    <row r="43" ht="12.75">
      <c r="H43" s="1">
        <f>17509520328-20016637696</f>
        <v>-2507117368</v>
      </c>
    </row>
    <row r="44" spans="2:8" ht="12.75">
      <c r="B44" s="1" t="s">
        <v>500</v>
      </c>
      <c r="H44" s="1">
        <f>9144534273-13146757641</f>
        <v>-4002223368</v>
      </c>
    </row>
    <row r="45" spans="1:8" ht="12.75">
      <c r="A45" s="1" t="s">
        <v>501</v>
      </c>
      <c r="B45" s="1" t="s">
        <v>414</v>
      </c>
      <c r="H45" s="1">
        <f>H44-H43</f>
        <v>-1495106000</v>
      </c>
    </row>
    <row r="46" ht="12.75">
      <c r="H46" s="1">
        <f>1087109500+600000000-175000000</f>
        <v>1512109500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793"/>
  <sheetViews>
    <sheetView workbookViewId="0" topLeftCell="A1">
      <selection activeCell="B7" sqref="B7"/>
    </sheetView>
  </sheetViews>
  <sheetFormatPr defaultColWidth="9.140625" defaultRowHeight="12.75"/>
  <cols>
    <col min="1" max="3" width="9.140625" style="1" customWidth="1"/>
    <col min="4" max="4" width="9.28125" style="1" bestFit="1" customWidth="1"/>
    <col min="5" max="6" width="9.140625" style="1" customWidth="1"/>
    <col min="7" max="7" width="12.140625" style="1" bestFit="1" customWidth="1"/>
    <col min="8" max="9" width="9.140625" style="1" customWidth="1"/>
    <col min="10" max="10" width="12.00390625" style="1" bestFit="1" customWidth="1"/>
    <col min="11" max="11" width="9.140625" style="1" customWidth="1"/>
    <col min="12" max="12" width="12.140625" style="1" bestFit="1" customWidth="1"/>
    <col min="13" max="13" width="9.28125" style="1" bestFit="1" customWidth="1"/>
    <col min="14" max="14" width="11.00390625" style="1" bestFit="1" customWidth="1"/>
    <col min="15" max="15" width="9.140625" style="1" customWidth="1"/>
    <col min="16" max="16" width="12.140625" style="1" bestFit="1" customWidth="1"/>
    <col min="17" max="20" width="9.140625" style="1" customWidth="1"/>
    <col min="21" max="21" width="12.140625" style="1" bestFit="1" customWidth="1"/>
    <col min="22" max="16384" width="9.140625" style="1" customWidth="1"/>
  </cols>
  <sheetData>
    <row r="1" spans="1:13" ht="12.75">
      <c r="A1" s="1" t="s">
        <v>282</v>
      </c>
      <c r="M1" s="1" t="s">
        <v>502</v>
      </c>
    </row>
    <row r="2" spans="1:13" ht="12.75">
      <c r="A2" s="1" t="s">
        <v>503</v>
      </c>
      <c r="M2" s="1" t="s">
        <v>504</v>
      </c>
    </row>
    <row r="3" ht="12.75">
      <c r="A3" s="1" t="s">
        <v>505</v>
      </c>
    </row>
    <row r="5" ht="12.75">
      <c r="A5" s="1" t="s">
        <v>506</v>
      </c>
    </row>
    <row r="7" spans="1:2" ht="12.75">
      <c r="A7" s="1" t="s">
        <v>507</v>
      </c>
      <c r="B7" s="1" t="s">
        <v>508</v>
      </c>
    </row>
    <row r="9" spans="1:2" ht="12.75">
      <c r="A9" s="1" t="s">
        <v>509</v>
      </c>
      <c r="B9" s="1" t="s">
        <v>510</v>
      </c>
    </row>
    <row r="11" ht="12.75">
      <c r="B11" s="1" t="s">
        <v>511</v>
      </c>
    </row>
    <row r="15" ht="12.75">
      <c r="B15" s="1" t="s">
        <v>512</v>
      </c>
    </row>
    <row r="17" spans="2:9" ht="12.75">
      <c r="B17" s="1" t="s">
        <v>513</v>
      </c>
      <c r="I17" s="1" t="s">
        <v>514</v>
      </c>
    </row>
    <row r="18" ht="12.75">
      <c r="B18" s="1" t="s">
        <v>515</v>
      </c>
    </row>
    <row r="21" spans="1:2" ht="12.75">
      <c r="A21" s="1" t="s">
        <v>516</v>
      </c>
      <c r="B21" s="1" t="s">
        <v>517</v>
      </c>
    </row>
    <row r="22" ht="12.75">
      <c r="B22" s="1" t="s">
        <v>518</v>
      </c>
    </row>
    <row r="23" ht="12.75">
      <c r="B23" s="1" t="s">
        <v>519</v>
      </c>
    </row>
    <row r="24" ht="12.75">
      <c r="B24" s="1" t="s">
        <v>520</v>
      </c>
    </row>
    <row r="25" ht="12.75">
      <c r="B25" s="1" t="s">
        <v>521</v>
      </c>
    </row>
    <row r="26" ht="12.75">
      <c r="B26" s="1" t="s">
        <v>522</v>
      </c>
    </row>
    <row r="27" ht="12.75">
      <c r="B27" s="1" t="s">
        <v>523</v>
      </c>
    </row>
    <row r="28" ht="12.75">
      <c r="B28" s="1" t="s">
        <v>524</v>
      </c>
    </row>
    <row r="29" ht="12.75">
      <c r="B29" s="1" t="s">
        <v>525</v>
      </c>
    </row>
    <row r="32" ht="12.75">
      <c r="B32" s="1" t="s">
        <v>525</v>
      </c>
    </row>
    <row r="35" ht="12.75">
      <c r="B35" s="1" t="s">
        <v>526</v>
      </c>
    </row>
    <row r="36" ht="12.75">
      <c r="B36" s="1" t="s">
        <v>527</v>
      </c>
    </row>
    <row r="38" spans="3:13" ht="12.75">
      <c r="C38" s="1" t="s">
        <v>528</v>
      </c>
      <c r="M38" s="1" t="s">
        <v>529</v>
      </c>
    </row>
    <row r="39" spans="2:11" ht="12.75">
      <c r="B39" s="1" t="s">
        <v>530</v>
      </c>
      <c r="K39" s="1" t="s">
        <v>531</v>
      </c>
    </row>
    <row r="40" spans="2:11" ht="12.75">
      <c r="B40" s="1" t="s">
        <v>532</v>
      </c>
      <c r="K40" s="1" t="s">
        <v>531</v>
      </c>
    </row>
    <row r="41" spans="2:11" ht="12.75">
      <c r="B41" s="1" t="s">
        <v>533</v>
      </c>
      <c r="K41" s="1" t="s">
        <v>531</v>
      </c>
    </row>
    <row r="42" spans="2:11" ht="12.75">
      <c r="B42" s="1" t="s">
        <v>534</v>
      </c>
      <c r="K42" s="1" t="s">
        <v>535</v>
      </c>
    </row>
    <row r="43" spans="2:11" ht="12.75">
      <c r="B43" s="1" t="s">
        <v>536</v>
      </c>
      <c r="K43" s="1" t="s">
        <v>535</v>
      </c>
    </row>
    <row r="45" ht="12.75">
      <c r="B45" s="1" t="s">
        <v>537</v>
      </c>
    </row>
    <row r="47" spans="3:14" ht="12.75">
      <c r="C47" s="1" t="s">
        <v>538</v>
      </c>
      <c r="N47" s="1" t="s">
        <v>539</v>
      </c>
    </row>
    <row r="48" spans="2:11" ht="12.75">
      <c r="B48" s="1" t="s">
        <v>540</v>
      </c>
      <c r="K48" s="1" t="s">
        <v>541</v>
      </c>
    </row>
    <row r="49" ht="12.75">
      <c r="B49" s="1" t="s">
        <v>542</v>
      </c>
    </row>
    <row r="51" spans="1:2" ht="12.75">
      <c r="A51" s="1" t="s">
        <v>543</v>
      </c>
      <c r="B51" s="1" t="s">
        <v>544</v>
      </c>
    </row>
    <row r="52" ht="12.75">
      <c r="F52" s="1" t="s">
        <v>545</v>
      </c>
    </row>
    <row r="53" spans="1:2" ht="12.75">
      <c r="A53" s="1" t="s">
        <v>509</v>
      </c>
      <c r="B53" s="1" t="s">
        <v>546</v>
      </c>
    </row>
    <row r="54" ht="12.75">
      <c r="B54" s="1" t="s">
        <v>547</v>
      </c>
    </row>
    <row r="56" spans="1:2" ht="12.75">
      <c r="A56" s="1" t="s">
        <v>516</v>
      </c>
      <c r="B56" s="1" t="s">
        <v>548</v>
      </c>
    </row>
    <row r="57" ht="12.75">
      <c r="B57" s="1" t="s">
        <v>549</v>
      </c>
    </row>
    <row r="59" spans="1:2" ht="12.75">
      <c r="A59" s="1" t="s">
        <v>550</v>
      </c>
      <c r="B59" s="1" t="s">
        <v>551</v>
      </c>
    </row>
    <row r="61" spans="1:2" ht="12.75">
      <c r="A61" s="1" t="s">
        <v>509</v>
      </c>
      <c r="B61" s="1" t="s">
        <v>552</v>
      </c>
    </row>
    <row r="62" ht="12.75">
      <c r="B62" s="1" t="s">
        <v>553</v>
      </c>
    </row>
    <row r="63" spans="1:2" ht="12.75">
      <c r="A63" s="1" t="s">
        <v>516</v>
      </c>
      <c r="B63" s="1" t="s">
        <v>554</v>
      </c>
    </row>
    <row r="64" ht="12.75">
      <c r="B64" s="1" t="s">
        <v>555</v>
      </c>
    </row>
    <row r="65" spans="1:2" ht="12.75">
      <c r="A65" s="1" t="s">
        <v>556</v>
      </c>
      <c r="B65" s="1" t="s">
        <v>557</v>
      </c>
    </row>
    <row r="67" ht="12.75">
      <c r="B67" s="1" t="s">
        <v>558</v>
      </c>
    </row>
    <row r="70" ht="12.75">
      <c r="B70" s="1" t="s">
        <v>559</v>
      </c>
    </row>
    <row r="72" ht="12.75">
      <c r="B72" s="1" t="s">
        <v>560</v>
      </c>
    </row>
    <row r="74" ht="12.75">
      <c r="B74" s="1" t="s">
        <v>561</v>
      </c>
    </row>
    <row r="76" ht="12.75">
      <c r="B76" s="1" t="s">
        <v>562</v>
      </c>
    </row>
    <row r="78" ht="12.75">
      <c r="B78" s="1" t="s">
        <v>563</v>
      </c>
    </row>
    <row r="82" spans="1:2" ht="12.75">
      <c r="A82" s="1" t="s">
        <v>556</v>
      </c>
      <c r="B82" s="1" t="s">
        <v>564</v>
      </c>
    </row>
    <row r="84" spans="1:2" ht="12.75">
      <c r="A84" s="1" t="s">
        <v>509</v>
      </c>
      <c r="B84" s="1" t="s">
        <v>565</v>
      </c>
    </row>
    <row r="86" ht="12.75">
      <c r="B86" s="1" t="s">
        <v>566</v>
      </c>
    </row>
    <row r="87" ht="12.75">
      <c r="B87" s="1" t="s">
        <v>567</v>
      </c>
    </row>
    <row r="91" ht="12.75">
      <c r="B91" s="1" t="s">
        <v>568</v>
      </c>
    </row>
    <row r="93" ht="12.75">
      <c r="B93" s="1" t="s">
        <v>569</v>
      </c>
    </row>
    <row r="98" spans="1:2" ht="12.75">
      <c r="A98" s="1" t="s">
        <v>516</v>
      </c>
      <c r="B98" s="1" t="s">
        <v>570</v>
      </c>
    </row>
    <row r="99" ht="12.75">
      <c r="E99" s="1" t="s">
        <v>545</v>
      </c>
    </row>
    <row r="100" spans="1:2" ht="12.75">
      <c r="A100" s="1" t="s">
        <v>571</v>
      </c>
      <c r="B100" s="1" t="s">
        <v>572</v>
      </c>
    </row>
    <row r="101" ht="12.75">
      <c r="B101" s="1" t="s">
        <v>573</v>
      </c>
    </row>
    <row r="103" ht="12.75">
      <c r="B103" s="1" t="s">
        <v>574</v>
      </c>
    </row>
    <row r="105" ht="12.75">
      <c r="B105" s="1" t="s">
        <v>575</v>
      </c>
    </row>
    <row r="108" spans="1:10" ht="12.75">
      <c r="A108" s="1" t="s">
        <v>576</v>
      </c>
      <c r="B108" s="1" t="s">
        <v>577</v>
      </c>
      <c r="J108" s="1" t="s">
        <v>578</v>
      </c>
    </row>
    <row r="110" spans="1:2" ht="12.75">
      <c r="A110" s="1" t="s">
        <v>579</v>
      </c>
      <c r="B110" s="1" t="s">
        <v>580</v>
      </c>
    </row>
    <row r="111" ht="12.75">
      <c r="B111" s="1" t="s">
        <v>581</v>
      </c>
    </row>
    <row r="113" ht="12.75">
      <c r="B113" s="1" t="s">
        <v>582</v>
      </c>
    </row>
    <row r="114" ht="12.75">
      <c r="B114" s="1" t="s">
        <v>583</v>
      </c>
    </row>
    <row r="116" spans="1:2" ht="12.75">
      <c r="A116" s="1" t="s">
        <v>584</v>
      </c>
      <c r="B116" s="1" t="s">
        <v>585</v>
      </c>
    </row>
    <row r="117" ht="12.75">
      <c r="B117" s="1" t="s">
        <v>586</v>
      </c>
    </row>
    <row r="119" spans="1:2" ht="12.75">
      <c r="A119" s="1" t="s">
        <v>587</v>
      </c>
      <c r="B119" s="1" t="s">
        <v>588</v>
      </c>
    </row>
    <row r="120" ht="12.75">
      <c r="B120" s="1" t="s">
        <v>589</v>
      </c>
    </row>
    <row r="121" ht="12.75">
      <c r="B121" s="1" t="s">
        <v>590</v>
      </c>
    </row>
    <row r="122" ht="12.75">
      <c r="B122" s="1" t="s">
        <v>591</v>
      </c>
    </row>
    <row r="123" ht="12.75">
      <c r="B123" s="1" t="s">
        <v>592</v>
      </c>
    </row>
    <row r="124" ht="12.75">
      <c r="F124" s="1" t="s">
        <v>545</v>
      </c>
    </row>
    <row r="125" spans="1:2" ht="12.75">
      <c r="A125" s="1" t="s">
        <v>593</v>
      </c>
      <c r="B125" s="1" t="s">
        <v>594</v>
      </c>
    </row>
    <row r="127" ht="12.75">
      <c r="B127" s="1" t="s">
        <v>595</v>
      </c>
    </row>
    <row r="128" ht="12.75">
      <c r="B128" s="1" t="s">
        <v>596</v>
      </c>
    </row>
    <row r="131" ht="12.75">
      <c r="B131" s="1" t="s">
        <v>597</v>
      </c>
    </row>
    <row r="132" ht="12.75">
      <c r="B132" s="1" t="s">
        <v>598</v>
      </c>
    </row>
    <row r="137" spans="1:2" ht="12.75">
      <c r="A137" s="1" t="s">
        <v>599</v>
      </c>
      <c r="B137" s="1" t="s">
        <v>600</v>
      </c>
    </row>
    <row r="138" ht="12.75">
      <c r="B138" s="1" t="s">
        <v>601</v>
      </c>
    </row>
    <row r="142" ht="12.75">
      <c r="B142" s="1" t="s">
        <v>602</v>
      </c>
    </row>
    <row r="143" ht="12.75">
      <c r="B143" s="1" t="s">
        <v>603</v>
      </c>
    </row>
    <row r="146" ht="12.75">
      <c r="B146" s="1" t="s">
        <v>604</v>
      </c>
    </row>
    <row r="150" ht="12.75">
      <c r="B150" s="1" t="s">
        <v>605</v>
      </c>
    </row>
    <row r="151" ht="12.75">
      <c r="B151" s="1" t="s">
        <v>606</v>
      </c>
    </row>
    <row r="154" ht="12.75">
      <c r="B154" s="1" t="s">
        <v>607</v>
      </c>
    </row>
    <row r="158" spans="1:2" ht="12.75">
      <c r="A158" s="1" t="s">
        <v>608</v>
      </c>
      <c r="B158" s="1" t="s">
        <v>609</v>
      </c>
    </row>
    <row r="160" spans="1:2" ht="12.75">
      <c r="A160" s="1" t="s">
        <v>571</v>
      </c>
      <c r="B160" s="1" t="s">
        <v>610</v>
      </c>
    </row>
    <row r="162" ht="12.75">
      <c r="B162" s="1" t="s">
        <v>611</v>
      </c>
    </row>
    <row r="164" ht="12.75">
      <c r="B164" s="1" t="s">
        <v>612</v>
      </c>
    </row>
    <row r="165" ht="12.75">
      <c r="B165" s="1" t="s">
        <v>613</v>
      </c>
    </row>
    <row r="172" ht="12.75">
      <c r="B172" s="1" t="s">
        <v>614</v>
      </c>
    </row>
    <row r="177" ht="12.75">
      <c r="B177" s="1" t="s">
        <v>615</v>
      </c>
    </row>
    <row r="178" ht="12.75">
      <c r="B178" s="1" t="s">
        <v>616</v>
      </c>
    </row>
    <row r="181" spans="2:10" ht="12.75">
      <c r="B181" s="1" t="s">
        <v>617</v>
      </c>
      <c r="J181" s="1" t="s">
        <v>618</v>
      </c>
    </row>
    <row r="183" spans="2:10" ht="12.75">
      <c r="B183" s="1" t="s">
        <v>619</v>
      </c>
      <c r="G183" s="1" t="s">
        <v>545</v>
      </c>
      <c r="J183" s="1" t="s">
        <v>620</v>
      </c>
    </row>
    <row r="184" spans="2:10" ht="12.75">
      <c r="B184" s="1" t="s">
        <v>621</v>
      </c>
      <c r="J184" s="1" t="s">
        <v>622</v>
      </c>
    </row>
    <row r="185" spans="2:10" ht="12.75">
      <c r="B185" s="1" t="s">
        <v>623</v>
      </c>
      <c r="J185" s="1" t="s">
        <v>624</v>
      </c>
    </row>
    <row r="186" spans="2:10" ht="12.75">
      <c r="B186" s="1" t="s">
        <v>625</v>
      </c>
      <c r="J186" s="1" t="s">
        <v>626</v>
      </c>
    </row>
    <row r="187" spans="2:10" ht="12.75">
      <c r="B187" s="1" t="s">
        <v>627</v>
      </c>
      <c r="J187" s="1" t="s">
        <v>628</v>
      </c>
    </row>
    <row r="188" spans="1:2" ht="12.75">
      <c r="A188" s="1" t="s">
        <v>629</v>
      </c>
      <c r="B188" s="1" t="s">
        <v>630</v>
      </c>
    </row>
    <row r="190" ht="12.75">
      <c r="B190" s="1" t="s">
        <v>631</v>
      </c>
    </row>
    <row r="191" ht="12.75">
      <c r="B191" s="1" t="s">
        <v>632</v>
      </c>
    </row>
    <row r="193" ht="12.75">
      <c r="B193" s="1" t="s">
        <v>633</v>
      </c>
    </row>
    <row r="195" ht="12.75">
      <c r="B195" s="1" t="s">
        <v>634</v>
      </c>
    </row>
    <row r="197" ht="12.75">
      <c r="B197" s="1" t="s">
        <v>635</v>
      </c>
    </row>
    <row r="201" ht="12.75">
      <c r="B201" s="1" t="s">
        <v>636</v>
      </c>
    </row>
    <row r="202" ht="12.75">
      <c r="B202" s="1" t="s">
        <v>637</v>
      </c>
    </row>
    <row r="204" ht="12.75">
      <c r="B204" s="1" t="s">
        <v>638</v>
      </c>
    </row>
    <row r="207" spans="2:10" ht="12.75">
      <c r="B207" s="1" t="s">
        <v>639</v>
      </c>
      <c r="J207" s="1" t="s">
        <v>640</v>
      </c>
    </row>
    <row r="208" spans="2:10" ht="12.75">
      <c r="B208" s="1" t="s">
        <v>641</v>
      </c>
      <c r="J208" s="1" t="s">
        <v>640</v>
      </c>
    </row>
    <row r="210" spans="1:2" ht="12.75">
      <c r="A210" s="1" t="s">
        <v>642</v>
      </c>
      <c r="B210" s="1" t="s">
        <v>643</v>
      </c>
    </row>
    <row r="212" ht="12.75">
      <c r="B212" s="1" t="s">
        <v>644</v>
      </c>
    </row>
    <row r="213" ht="12.75">
      <c r="B213" s="1" t="s">
        <v>645</v>
      </c>
    </row>
    <row r="214" spans="2:3" ht="12.75">
      <c r="B214" s="1" t="s">
        <v>646</v>
      </c>
      <c r="C214" s="1" t="s">
        <v>647</v>
      </c>
    </row>
    <row r="215" spans="2:3" ht="12.75">
      <c r="B215" s="1" t="s">
        <v>648</v>
      </c>
      <c r="C215" s="1" t="s">
        <v>649</v>
      </c>
    </row>
    <row r="216" ht="12.75">
      <c r="B216" s="1" t="s">
        <v>650</v>
      </c>
    </row>
    <row r="218" ht="12.75">
      <c r="B218" s="1" t="s">
        <v>651</v>
      </c>
    </row>
    <row r="222" ht="12.75">
      <c r="B222" s="1" t="s">
        <v>652</v>
      </c>
    </row>
    <row r="225" spans="1:2" ht="12.75">
      <c r="A225" s="1" t="s">
        <v>653</v>
      </c>
      <c r="B225" s="1" t="s">
        <v>654</v>
      </c>
    </row>
    <row r="226" ht="12.75">
      <c r="B226" s="1" t="s">
        <v>655</v>
      </c>
    </row>
    <row r="227" ht="12.75">
      <c r="B227" s="1" t="s">
        <v>656</v>
      </c>
    </row>
    <row r="232" ht="12.75">
      <c r="B232" s="1" t="s">
        <v>657</v>
      </c>
    </row>
    <row r="233" ht="12.75">
      <c r="B233" s="1" t="s">
        <v>658</v>
      </c>
    </row>
    <row r="240" ht="12.75">
      <c r="B240" s="1" t="s">
        <v>659</v>
      </c>
    </row>
    <row r="241" ht="12.75">
      <c r="B241" s="1" t="s">
        <v>660</v>
      </c>
    </row>
    <row r="242" ht="12.75">
      <c r="B242" s="1" t="s">
        <v>661</v>
      </c>
    </row>
    <row r="244" ht="12.75">
      <c r="B244" s="1" t="s">
        <v>662</v>
      </c>
    </row>
    <row r="246" ht="12.75">
      <c r="B246" s="1" t="s">
        <v>663</v>
      </c>
    </row>
    <row r="248" spans="1:2" ht="12.75">
      <c r="A248" s="1" t="s">
        <v>664</v>
      </c>
      <c r="B248" s="1" t="s">
        <v>665</v>
      </c>
    </row>
    <row r="250" spans="1:2" ht="12.75">
      <c r="A250" s="1" t="s">
        <v>666</v>
      </c>
      <c r="B250" s="1" t="s">
        <v>667</v>
      </c>
    </row>
    <row r="252" ht="12.75">
      <c r="B252" s="1" t="s">
        <v>668</v>
      </c>
    </row>
    <row r="253" ht="12.75">
      <c r="B253" s="1" t="s">
        <v>669</v>
      </c>
    </row>
    <row r="254" ht="12.75">
      <c r="B254" s="1" t="s">
        <v>670</v>
      </c>
    </row>
    <row r="255" ht="12.75">
      <c r="B255" s="1" t="s">
        <v>671</v>
      </c>
    </row>
    <row r="258" ht="12.75">
      <c r="B258" s="1" t="s">
        <v>672</v>
      </c>
    </row>
    <row r="260" ht="12.75">
      <c r="B260" s="1" t="s">
        <v>673</v>
      </c>
    </row>
    <row r="264" ht="12.75">
      <c r="B264" s="1" t="s">
        <v>674</v>
      </c>
    </row>
    <row r="266" ht="12.75">
      <c r="B266" s="1" t="s">
        <v>675</v>
      </c>
    </row>
    <row r="267" ht="12.75">
      <c r="B267" s="1" t="s">
        <v>676</v>
      </c>
    </row>
    <row r="269" ht="12.75">
      <c r="B269" s="1" t="s">
        <v>677</v>
      </c>
    </row>
    <row r="272" spans="1:2" ht="12.75">
      <c r="A272" s="1" t="s">
        <v>678</v>
      </c>
      <c r="B272" s="1" t="s">
        <v>679</v>
      </c>
    </row>
    <row r="274" ht="12.75">
      <c r="B274" s="1" t="s">
        <v>680</v>
      </c>
    </row>
    <row r="276" ht="12.75">
      <c r="B276" s="1" t="s">
        <v>681</v>
      </c>
    </row>
    <row r="277" ht="12.75">
      <c r="B277" s="1" t="s">
        <v>682</v>
      </c>
    </row>
    <row r="279" ht="12.75">
      <c r="B279" s="1" t="s">
        <v>683</v>
      </c>
    </row>
    <row r="283" ht="12.75">
      <c r="B283" s="1" t="s">
        <v>684</v>
      </c>
    </row>
    <row r="284" ht="12.75">
      <c r="B284" s="1" t="s">
        <v>685</v>
      </c>
    </row>
    <row r="291" ht="12.75">
      <c r="B291" s="1" t="s">
        <v>686</v>
      </c>
    </row>
    <row r="294" ht="12.75">
      <c r="B294" s="1" t="s">
        <v>687</v>
      </c>
    </row>
    <row r="295" ht="12.75">
      <c r="B295" s="1" t="s">
        <v>688</v>
      </c>
    </row>
    <row r="301" ht="12.75">
      <c r="B301" s="1" t="s">
        <v>689</v>
      </c>
    </row>
    <row r="303" ht="12.75">
      <c r="B303" s="1" t="s">
        <v>690</v>
      </c>
    </row>
    <row r="308" ht="12.75">
      <c r="B308" s="1" t="s">
        <v>691</v>
      </c>
    </row>
    <row r="314" ht="12.75">
      <c r="B314" s="1" t="s">
        <v>692</v>
      </c>
    </row>
    <row r="316" ht="12.75">
      <c r="B316" s="1" t="s">
        <v>693</v>
      </c>
    </row>
    <row r="322" ht="12.75">
      <c r="B322" s="1" t="s">
        <v>694</v>
      </c>
    </row>
    <row r="327" ht="12.75">
      <c r="B327" s="1" t="s">
        <v>695</v>
      </c>
    </row>
    <row r="332" ht="12.75">
      <c r="B332" s="1" t="s">
        <v>696</v>
      </c>
    </row>
    <row r="334" spans="1:2" ht="12.75">
      <c r="A334" s="1" t="s">
        <v>697</v>
      </c>
      <c r="B334" s="1" t="s">
        <v>698</v>
      </c>
    </row>
    <row r="335" ht="12.75">
      <c r="B335" s="1" t="s">
        <v>699</v>
      </c>
    </row>
    <row r="339" spans="1:2" ht="12.75">
      <c r="A339" s="1" t="s">
        <v>700</v>
      </c>
      <c r="B339" s="1" t="s">
        <v>701</v>
      </c>
    </row>
    <row r="341" ht="12.75">
      <c r="B341" s="1" t="s">
        <v>702</v>
      </c>
    </row>
    <row r="343" ht="12.75">
      <c r="B343" s="1" t="s">
        <v>703</v>
      </c>
    </row>
    <row r="345" spans="1:2" ht="12.75">
      <c r="A345" s="1" t="s">
        <v>704</v>
      </c>
      <c r="B345" s="1" t="s">
        <v>705</v>
      </c>
    </row>
    <row r="347" spans="1:2" ht="12.75">
      <c r="A347" s="1" t="s">
        <v>706</v>
      </c>
      <c r="B347" s="1" t="s">
        <v>707</v>
      </c>
    </row>
    <row r="349" spans="1:2" ht="12.75">
      <c r="A349" s="1" t="s">
        <v>708</v>
      </c>
      <c r="B349" s="1" t="s">
        <v>709</v>
      </c>
    </row>
    <row r="351" spans="1:2" ht="12.75">
      <c r="A351" s="1" t="s">
        <v>710</v>
      </c>
      <c r="B351" s="1" t="s">
        <v>711</v>
      </c>
    </row>
    <row r="353" ht="12.75">
      <c r="B353" s="1" t="s">
        <v>712</v>
      </c>
    </row>
    <row r="354" ht="12.75">
      <c r="B354" s="1" t="s">
        <v>713</v>
      </c>
    </row>
    <row r="355" ht="12.75">
      <c r="B355" s="1" t="s">
        <v>714</v>
      </c>
    </row>
    <row r="357" spans="1:2" ht="12.75">
      <c r="A357" s="1" t="s">
        <v>629</v>
      </c>
      <c r="B357" s="1" t="s">
        <v>715</v>
      </c>
    </row>
    <row r="359" ht="12.75">
      <c r="B359" s="1" t="s">
        <v>716</v>
      </c>
    </row>
    <row r="360" ht="12.75">
      <c r="C360" s="1" t="s">
        <v>0</v>
      </c>
    </row>
    <row r="362" ht="12.75">
      <c r="C362" s="1" t="s">
        <v>1</v>
      </c>
    </row>
    <row r="364" ht="12.75">
      <c r="C364" s="1" t="s">
        <v>2</v>
      </c>
    </row>
    <row r="365" ht="12.75">
      <c r="C365" s="1" t="s">
        <v>3</v>
      </c>
    </row>
    <row r="366" ht="12.75">
      <c r="C366" s="1" t="s">
        <v>4</v>
      </c>
    </row>
    <row r="368" ht="12.75">
      <c r="B368" s="1" t="s">
        <v>5</v>
      </c>
    </row>
    <row r="369" ht="12.75">
      <c r="C369" s="1" t="s">
        <v>6</v>
      </c>
    </row>
    <row r="370" ht="12.75">
      <c r="C370" s="1" t="s">
        <v>7</v>
      </c>
    </row>
    <row r="371" ht="12.75">
      <c r="C371" s="1" t="s">
        <v>8</v>
      </c>
    </row>
    <row r="372" ht="12.75">
      <c r="C372" s="1" t="s">
        <v>9</v>
      </c>
    </row>
    <row r="374" ht="12.75">
      <c r="B374" s="1" t="s">
        <v>10</v>
      </c>
    </row>
    <row r="376" spans="1:2" ht="12.75">
      <c r="A376" s="1" t="s">
        <v>11</v>
      </c>
      <c r="B376" s="1" t="s">
        <v>12</v>
      </c>
    </row>
    <row r="377" ht="12.75">
      <c r="D377" s="1" t="s">
        <v>545</v>
      </c>
    </row>
    <row r="378" spans="1:2" ht="12.75">
      <c r="A378" s="1" t="s">
        <v>571</v>
      </c>
      <c r="B378" s="1" t="s">
        <v>13</v>
      </c>
    </row>
    <row r="379" ht="12.75">
      <c r="B379" s="1" t="s">
        <v>14</v>
      </c>
    </row>
    <row r="385" spans="1:2" ht="12.75">
      <c r="A385" s="1" t="s">
        <v>576</v>
      </c>
      <c r="B385" s="1" t="s">
        <v>15</v>
      </c>
    </row>
    <row r="386" ht="12.75">
      <c r="B386" s="1" t="s">
        <v>16</v>
      </c>
    </row>
    <row r="391" spans="1:2" ht="12.75">
      <c r="A391" s="1" t="s">
        <v>642</v>
      </c>
      <c r="B391" s="1" t="s">
        <v>17</v>
      </c>
    </row>
    <row r="392" ht="12.75">
      <c r="B392" s="1" t="s">
        <v>18</v>
      </c>
    </row>
    <row r="395" spans="1:2" ht="12.75">
      <c r="A395" s="1" t="s">
        <v>653</v>
      </c>
      <c r="B395" s="1" t="s">
        <v>19</v>
      </c>
    </row>
    <row r="396" ht="12.75">
      <c r="B396" s="1" t="s">
        <v>20</v>
      </c>
    </row>
    <row r="398" spans="1:2" ht="12.75">
      <c r="A398" s="1" t="s">
        <v>21</v>
      </c>
      <c r="B398" s="1" t="s">
        <v>22</v>
      </c>
    </row>
    <row r="399" ht="12.75">
      <c r="B399" s="1" t="s">
        <v>23</v>
      </c>
    </row>
    <row r="400" ht="12.75">
      <c r="B400" s="1" t="s">
        <v>24</v>
      </c>
    </row>
    <row r="401" ht="12.75">
      <c r="B401" s="1" t="s">
        <v>25</v>
      </c>
    </row>
    <row r="403" spans="1:2" ht="12.75">
      <c r="A403" s="1" t="s">
        <v>26</v>
      </c>
      <c r="B403" s="1" t="s">
        <v>27</v>
      </c>
    </row>
    <row r="405" spans="1:2" ht="12.75">
      <c r="A405" s="1" t="s">
        <v>509</v>
      </c>
      <c r="B405" s="1" t="s">
        <v>28</v>
      </c>
    </row>
    <row r="406" spans="12:16" ht="12.75">
      <c r="L406" s="1">
        <v>39263</v>
      </c>
      <c r="P406" s="1">
        <v>39082</v>
      </c>
    </row>
    <row r="407" spans="2:16" ht="12.75">
      <c r="B407" s="1" t="s">
        <v>29</v>
      </c>
      <c r="L407" s="1">
        <f>727920885+218451355</f>
        <v>946372240</v>
      </c>
      <c r="P407" s="1">
        <v>235023119</v>
      </c>
    </row>
    <row r="408" spans="2:16" ht="12.75">
      <c r="B408" s="1" t="s">
        <v>30</v>
      </c>
      <c r="L408" s="1">
        <f>588435176+71283689</f>
        <v>659718865</v>
      </c>
      <c r="P408" s="1">
        <v>16345941353</v>
      </c>
    </row>
    <row r="409" spans="2:16" ht="12.75">
      <c r="B409" s="1" t="s">
        <v>31</v>
      </c>
      <c r="L409" s="1">
        <v>0</v>
      </c>
      <c r="P409" s="1">
        <v>0</v>
      </c>
    </row>
    <row r="410" spans="2:16" ht="12.75">
      <c r="B410" s="1" t="s">
        <v>32</v>
      </c>
      <c r="L410" s="1">
        <v>0</v>
      </c>
      <c r="P410" s="1">
        <v>0</v>
      </c>
    </row>
    <row r="411" ht="12.75">
      <c r="B411" s="1" t="s">
        <v>33</v>
      </c>
    </row>
    <row r="412" spans="2:16" ht="12.75">
      <c r="B412" s="1" t="s">
        <v>34</v>
      </c>
      <c r="L412" s="1">
        <f>SUM(L407:N410)</f>
        <v>1606091105</v>
      </c>
      <c r="P412" s="1">
        <f>SUM(P407:R410)</f>
        <v>16580964472</v>
      </c>
    </row>
    <row r="414" spans="1:2" ht="12.75">
      <c r="A414" s="1" t="s">
        <v>516</v>
      </c>
      <c r="B414" s="1" t="s">
        <v>35</v>
      </c>
    </row>
    <row r="415" spans="12:16" ht="12.75">
      <c r="L415" s="1">
        <f>L406</f>
        <v>39263</v>
      </c>
      <c r="P415" s="1">
        <v>39082</v>
      </c>
    </row>
    <row r="416" ht="12.75">
      <c r="B416" s="1" t="s">
        <v>36</v>
      </c>
    </row>
    <row r="417" ht="12.75">
      <c r="B417" s="1" t="s">
        <v>37</v>
      </c>
    </row>
    <row r="418" spans="2:16" ht="12.75">
      <c r="B418" s="1" t="s">
        <v>31</v>
      </c>
      <c r="L418" s="1">
        <v>0</v>
      </c>
      <c r="P418" s="1">
        <v>0</v>
      </c>
    </row>
    <row r="419" spans="2:16" ht="12.75">
      <c r="B419" s="1" t="s">
        <v>32</v>
      </c>
      <c r="L419" s="1">
        <v>0</v>
      </c>
      <c r="P419" s="1">
        <v>0</v>
      </c>
    </row>
    <row r="420" ht="12.75">
      <c r="B420" s="1" t="s">
        <v>38</v>
      </c>
    </row>
    <row r="421" spans="2:16" ht="12.75">
      <c r="B421" s="1" t="s">
        <v>34</v>
      </c>
      <c r="L421" s="1">
        <f>SUM(L416:N419)</f>
        <v>0</v>
      </c>
      <c r="P421" s="1">
        <f>SUM(P416:R419)</f>
        <v>0</v>
      </c>
    </row>
    <row r="422" spans="1:2" ht="12.75">
      <c r="A422" s="1" t="s">
        <v>593</v>
      </c>
      <c r="B422" s="1" t="s">
        <v>39</v>
      </c>
    </row>
    <row r="423" spans="12:16" ht="12.75">
      <c r="L423" s="1">
        <f>L406</f>
        <v>39263</v>
      </c>
      <c r="P423" s="1">
        <f>$P$406</f>
        <v>39082</v>
      </c>
    </row>
    <row r="424" spans="2:16" ht="12.75">
      <c r="B424" s="1" t="s">
        <v>40</v>
      </c>
      <c r="L424" s="1">
        <v>51833747876</v>
      </c>
      <c r="P424" s="1">
        <v>42681978046</v>
      </c>
    </row>
    <row r="425" spans="2:16" ht="12.75">
      <c r="B425" s="1" t="s">
        <v>41</v>
      </c>
      <c r="L425" s="1">
        <v>28271455584</v>
      </c>
      <c r="P425" s="1">
        <v>43235526067</v>
      </c>
    </row>
    <row r="426" spans="2:16" ht="12.75">
      <c r="B426" s="1" t="s">
        <v>42</v>
      </c>
      <c r="L426" s="1">
        <v>0</v>
      </c>
      <c r="P426" s="1">
        <v>0</v>
      </c>
    </row>
    <row r="427" spans="2:16" ht="12.75">
      <c r="B427" s="1" t="s">
        <v>43</v>
      </c>
      <c r="L427" s="1">
        <v>0</v>
      </c>
      <c r="P427" s="1">
        <v>0</v>
      </c>
    </row>
    <row r="428" spans="2:16" ht="12.75">
      <c r="B428" s="1" t="s">
        <v>44</v>
      </c>
      <c r="L428" s="1">
        <v>1671309440</v>
      </c>
      <c r="P428" s="1">
        <v>611896219</v>
      </c>
    </row>
    <row r="429" spans="2:12" ht="12.75">
      <c r="B429" s="1" t="s">
        <v>45</v>
      </c>
      <c r="L429" s="1">
        <v>0</v>
      </c>
    </row>
    <row r="430" spans="2:12" ht="12.75">
      <c r="B430" s="1" t="s">
        <v>46</v>
      </c>
      <c r="L430" s="1">
        <v>0</v>
      </c>
    </row>
    <row r="431" spans="2:16" ht="12.75">
      <c r="B431" s="1" t="s">
        <v>34</v>
      </c>
      <c r="L431" s="1">
        <f>SUM(L424:N428)</f>
        <v>81776512900</v>
      </c>
      <c r="P431" s="1">
        <f>SUM(P424:R430)</f>
        <v>86529400332</v>
      </c>
    </row>
    <row r="432" spans="2:16" ht="12.75">
      <c r="B432" s="1" t="s">
        <v>47</v>
      </c>
      <c r="L432" s="1">
        <v>0</v>
      </c>
      <c r="P432" s="1">
        <v>0</v>
      </c>
    </row>
    <row r="434" spans="1:2" ht="12.75">
      <c r="A434" s="1" t="s">
        <v>599</v>
      </c>
      <c r="B434" s="1" t="s">
        <v>48</v>
      </c>
    </row>
    <row r="435" spans="12:16" ht="12.75">
      <c r="L435" s="1">
        <f>$L$406</f>
        <v>39263</v>
      </c>
      <c r="P435" s="1">
        <f>$P$406</f>
        <v>39082</v>
      </c>
    </row>
    <row r="436" spans="2:16" ht="12.75">
      <c r="B436" s="1" t="s">
        <v>49</v>
      </c>
      <c r="L436" s="1">
        <v>0</v>
      </c>
      <c r="P436" s="1">
        <v>0</v>
      </c>
    </row>
    <row r="437" spans="2:16" ht="12.75">
      <c r="B437" s="1" t="s">
        <v>50</v>
      </c>
      <c r="L437" s="1">
        <f>4492404253+13138339271</f>
        <v>17630743524</v>
      </c>
      <c r="P437" s="1">
        <v>15151828440</v>
      </c>
    </row>
    <row r="438" spans="2:16" ht="12.75">
      <c r="B438" s="1" t="s">
        <v>51</v>
      </c>
      <c r="L438" s="1">
        <f>58089660+250010953</f>
        <v>308100613</v>
      </c>
      <c r="P438" s="1">
        <v>426374766</v>
      </c>
    </row>
    <row r="439" spans="2:16" ht="12.75">
      <c r="B439" s="1" t="s">
        <v>52</v>
      </c>
      <c r="L439" s="1">
        <f>18230352716+164719354565</f>
        <v>182949707281</v>
      </c>
      <c r="P439" s="1">
        <v>126014835030</v>
      </c>
    </row>
    <row r="440" ht="12.75">
      <c r="B440" s="1" t="s">
        <v>53</v>
      </c>
    </row>
    <row r="441" spans="2:16" ht="12.75">
      <c r="B441" s="1" t="s">
        <v>54</v>
      </c>
      <c r="L441" s="1">
        <v>0</v>
      </c>
      <c r="P441" s="1">
        <v>0</v>
      </c>
    </row>
    <row r="442" spans="2:16" ht="12.75">
      <c r="B442" s="1" t="s">
        <v>55</v>
      </c>
      <c r="L442" s="1">
        <f>SUM(L436:N441)</f>
        <v>200888551418</v>
      </c>
      <c r="P442" s="1">
        <f>SUM(P436:R441)</f>
        <v>141593038236</v>
      </c>
    </row>
    <row r="443" spans="2:16" ht="12.75">
      <c r="B443" s="1" t="s">
        <v>56</v>
      </c>
      <c r="L443" s="1">
        <v>0</v>
      </c>
      <c r="P443" s="1">
        <v>0</v>
      </c>
    </row>
    <row r="444" spans="2:16" ht="12.75">
      <c r="B444" s="1" t="s">
        <v>57</v>
      </c>
      <c r="L444" s="1">
        <f>SUM(L442:N443)</f>
        <v>200888551418</v>
      </c>
      <c r="P444" s="1">
        <f>SUM(P442:R443)</f>
        <v>141593038236</v>
      </c>
    </row>
    <row r="446" ht="12.75">
      <c r="B446" s="1" t="s">
        <v>58</v>
      </c>
    </row>
    <row r="447" ht="12.75">
      <c r="B447" s="1" t="s">
        <v>59</v>
      </c>
    </row>
    <row r="448" ht="12.75">
      <c r="B448" s="1" t="s">
        <v>60</v>
      </c>
    </row>
    <row r="450" spans="1:2" ht="12.75">
      <c r="A450" s="1" t="s">
        <v>608</v>
      </c>
      <c r="B450" s="1" t="s">
        <v>61</v>
      </c>
    </row>
    <row r="451" spans="12:16" ht="12.75">
      <c r="L451" s="1">
        <f>$L$406</f>
        <v>39263</v>
      </c>
      <c r="P451" s="1">
        <f>$P$406</f>
        <v>39082</v>
      </c>
    </row>
    <row r="452" spans="2:16" ht="12.75">
      <c r="B452" s="1" t="s">
        <v>62</v>
      </c>
      <c r="L452" s="1">
        <v>320540365</v>
      </c>
      <c r="P452" s="1">
        <v>323247758</v>
      </c>
    </row>
    <row r="453" spans="2:16" ht="12.75">
      <c r="B453" s="1" t="s">
        <v>63</v>
      </c>
      <c r="L453" s="1">
        <v>2749772100</v>
      </c>
      <c r="P453" s="1">
        <v>1063150743</v>
      </c>
    </row>
    <row r="454" spans="2:16" ht="12.75">
      <c r="B454" s="1" t="s">
        <v>64</v>
      </c>
      <c r="L454" s="1">
        <v>0</v>
      </c>
      <c r="P454" s="1">
        <v>0</v>
      </c>
    </row>
    <row r="455" spans="2:16" ht="12.75">
      <c r="B455" s="1" t="s">
        <v>65</v>
      </c>
      <c r="L455" s="1">
        <v>0</v>
      </c>
      <c r="P455" s="1">
        <v>0</v>
      </c>
    </row>
    <row r="456" spans="2:16" ht="12.75">
      <c r="B456" s="1" t="s">
        <v>66</v>
      </c>
      <c r="L456" s="1">
        <v>5607682036</v>
      </c>
      <c r="P456" s="1">
        <v>5095470122</v>
      </c>
    </row>
    <row r="457" spans="2:16" ht="12.75">
      <c r="B457" s="1" t="s">
        <v>67</v>
      </c>
      <c r="L457" s="1">
        <f>SUM(L452:N456)</f>
        <v>8677994501</v>
      </c>
      <c r="P457" s="1">
        <f>SUM(P452:R456)</f>
        <v>6481868623</v>
      </c>
    </row>
    <row r="459" spans="1:2" ht="12.75">
      <c r="A459" s="1" t="s">
        <v>629</v>
      </c>
      <c r="B459" s="1" t="s">
        <v>68</v>
      </c>
    </row>
    <row r="460" spans="12:16" ht="12.75">
      <c r="L460" s="1">
        <f>$L$406</f>
        <v>39263</v>
      </c>
      <c r="P460" s="1">
        <f>$P$406</f>
        <v>39082</v>
      </c>
    </row>
    <row r="461" ht="12.75">
      <c r="B461" s="1" t="s">
        <v>69</v>
      </c>
    </row>
    <row r="462" ht="12.75">
      <c r="B462" s="1" t="s">
        <v>70</v>
      </c>
    </row>
    <row r="463" spans="2:16" ht="12.75">
      <c r="B463" s="1" t="s">
        <v>67</v>
      </c>
      <c r="L463" s="1">
        <f>SUM(L461:N462)</f>
        <v>0</v>
      </c>
      <c r="P463" s="1">
        <f>SUM(P461:R462)</f>
        <v>0</v>
      </c>
    </row>
    <row r="464" spans="2:16" ht="12.75">
      <c r="B464" s="1" t="s">
        <v>71</v>
      </c>
      <c r="L464" s="1">
        <v>0</v>
      </c>
      <c r="P464" s="1">
        <v>0</v>
      </c>
    </row>
    <row r="465" spans="1:2" ht="12.75">
      <c r="A465" s="1" t="s">
        <v>642</v>
      </c>
      <c r="B465" s="1" t="s">
        <v>72</v>
      </c>
    </row>
    <row r="466" spans="12:16" ht="12.75">
      <c r="L466" s="1">
        <f>$L$406</f>
        <v>39263</v>
      </c>
      <c r="P466" s="1">
        <f>$P$406</f>
        <v>39082</v>
      </c>
    </row>
    <row r="467" ht="12.75">
      <c r="B467" s="1" t="s">
        <v>73</v>
      </c>
    </row>
    <row r="468" ht="12.75">
      <c r="B468" s="1" t="s">
        <v>74</v>
      </c>
    </row>
    <row r="469" ht="12.75">
      <c r="B469" s="1" t="s">
        <v>69</v>
      </c>
    </row>
    <row r="470" ht="12.75">
      <c r="B470" s="1" t="s">
        <v>70</v>
      </c>
    </row>
    <row r="471" spans="2:16" ht="12.75">
      <c r="B471" s="1" t="s">
        <v>67</v>
      </c>
      <c r="L471" s="1">
        <f>SUM(L469:N470)</f>
        <v>0</v>
      </c>
      <c r="P471" s="1">
        <f>SUM(P469:R470)</f>
        <v>0</v>
      </c>
    </row>
    <row r="472" spans="1:2" ht="12.75">
      <c r="A472" s="1" t="s">
        <v>653</v>
      </c>
      <c r="B472" s="1" t="s">
        <v>75</v>
      </c>
    </row>
    <row r="474" spans="1:16" ht="12.75">
      <c r="A474" s="1" t="s">
        <v>76</v>
      </c>
      <c r="D474" s="1" t="s">
        <v>77</v>
      </c>
      <c r="G474" s="1" t="s">
        <v>78</v>
      </c>
      <c r="J474" s="1" t="s">
        <v>79</v>
      </c>
      <c r="L474" s="1" t="s">
        <v>80</v>
      </c>
      <c r="N474" s="1" t="s">
        <v>81</v>
      </c>
      <c r="P474" s="1" t="s">
        <v>67</v>
      </c>
    </row>
    <row r="476" ht="12.75">
      <c r="A476" s="1" t="s">
        <v>82</v>
      </c>
    </row>
    <row r="477" spans="1:16" ht="12.75">
      <c r="A477" s="1" t="s">
        <v>83</v>
      </c>
      <c r="D477" s="1">
        <f>65030953</f>
        <v>65030953</v>
      </c>
      <c r="G477" s="1">
        <v>98882073792</v>
      </c>
      <c r="J477" s="1">
        <v>28801999325</v>
      </c>
      <c r="L477" s="1">
        <v>1419568691</v>
      </c>
      <c r="P477" s="1">
        <f>D477+G477+J477+L477+N477</f>
        <v>129168672761</v>
      </c>
    </row>
    <row r="478" spans="1:16" ht="12.75">
      <c r="A478" s="1" t="s">
        <v>84</v>
      </c>
      <c r="D478" s="1">
        <f>SUM(D479:E481)</f>
        <v>0</v>
      </c>
      <c r="G478" s="1">
        <f>SUM(G479:H481)</f>
        <v>12929993652</v>
      </c>
      <c r="J478" s="1">
        <f>SUM(J479:K481)</f>
        <v>2037168517</v>
      </c>
      <c r="L478" s="1">
        <f>SUM(L479:M481)</f>
        <v>194974380</v>
      </c>
      <c r="N478" s="1">
        <f>SUM(N479:O481)</f>
        <v>0</v>
      </c>
      <c r="P478" s="1">
        <f>D478+G478+J478+L478+N478</f>
        <v>15162136549</v>
      </c>
    </row>
    <row r="479" spans="1:16" ht="12.75">
      <c r="A479" s="1" t="s">
        <v>85</v>
      </c>
      <c r="G479" s="1">
        <f>12724993652+25000000+27500000+27000000+125500000</f>
        <v>12929993652</v>
      </c>
      <c r="J479" s="1">
        <f>979798520+514108274+167712381+359719706+15829636</f>
        <v>2037168517</v>
      </c>
      <c r="L479" s="1">
        <f>117640353+43264762+19523810+14545455</f>
        <v>194974380</v>
      </c>
      <c r="N479" s="1">
        <v>0</v>
      </c>
      <c r="P479" s="1">
        <f>SUM(D479:O479)</f>
        <v>15162136549</v>
      </c>
    </row>
    <row r="480" spans="1:16" ht="12.75">
      <c r="A480" s="1" t="s">
        <v>86</v>
      </c>
      <c r="G480" s="1">
        <v>0</v>
      </c>
      <c r="J480" s="1">
        <v>0</v>
      </c>
      <c r="L480" s="1">
        <v>0</v>
      </c>
      <c r="N480" s="1">
        <v>0</v>
      </c>
      <c r="P480" s="1">
        <f>D480+G480+J480+L480+N480</f>
        <v>0</v>
      </c>
    </row>
    <row r="481" spans="1:16" ht="12.75">
      <c r="A481" s="1" t="s">
        <v>87</v>
      </c>
      <c r="P481" s="1">
        <f>D481+G481+J481+L481+N481</f>
        <v>0</v>
      </c>
    </row>
    <row r="482" spans="1:16" ht="12.75">
      <c r="A482" s="1" t="s">
        <v>88</v>
      </c>
      <c r="D482" s="1">
        <f>SUM(D483:F485)</f>
        <v>0</v>
      </c>
      <c r="G482" s="1">
        <f>SUM(G483:I485)</f>
        <v>0</v>
      </c>
      <c r="J482" s="1">
        <f>SUM(J483:K485)</f>
        <v>36400000</v>
      </c>
      <c r="L482" s="1">
        <f>SUM(L483:M485)</f>
        <v>0</v>
      </c>
      <c r="N482" s="1">
        <f>SUM(N483:O485)</f>
        <v>0</v>
      </c>
      <c r="P482" s="1">
        <v>36400000</v>
      </c>
    </row>
    <row r="483" spans="1:16" ht="12.75">
      <c r="A483" s="1" t="s">
        <v>89</v>
      </c>
      <c r="P483" s="1">
        <f>D483+H483+J483+L483+N483</f>
        <v>0</v>
      </c>
    </row>
    <row r="484" spans="1:16" ht="12.75">
      <c r="A484" s="1" t="s">
        <v>90</v>
      </c>
      <c r="J484" s="1">
        <v>36400000</v>
      </c>
      <c r="P484" s="1">
        <f>D484+H484+J484+L484+N484</f>
        <v>36400000</v>
      </c>
    </row>
    <row r="485" spans="1:16" ht="12.75">
      <c r="A485" s="1" t="s">
        <v>91</v>
      </c>
      <c r="J485" s="1">
        <v>0</v>
      </c>
      <c r="P485" s="1">
        <f>D485+G485+J485+L485+N485</f>
        <v>0</v>
      </c>
    </row>
    <row r="486" spans="1:21" ht="12.75">
      <c r="A486" s="1" t="s">
        <v>92</v>
      </c>
      <c r="D486" s="1">
        <f>D477+D478-D482</f>
        <v>65030953</v>
      </c>
      <c r="G486" s="1">
        <f>G477+G478-G482</f>
        <v>111812067444</v>
      </c>
      <c r="J486" s="1">
        <f>J477+J478-J482</f>
        <v>30802767842</v>
      </c>
      <c r="L486" s="1">
        <f>L477+L478-L482</f>
        <v>1614543071</v>
      </c>
      <c r="N486" s="1">
        <f>N477+N478-N482</f>
        <v>0</v>
      </c>
      <c r="P486" s="1">
        <f>D486+G486+J486+L486+N486</f>
        <v>144294409310</v>
      </c>
      <c r="U486" s="1">
        <f>P486+P536</f>
        <v>147527505120</v>
      </c>
    </row>
    <row r="487" ht="12.75">
      <c r="A487" s="1" t="s">
        <v>93</v>
      </c>
    </row>
    <row r="488" spans="1:21" ht="12.75">
      <c r="A488" s="1" t="s">
        <v>94</v>
      </c>
      <c r="D488" s="1">
        <v>53787476</v>
      </c>
      <c r="G488" s="1">
        <v>57913609967</v>
      </c>
      <c r="J488" s="1">
        <v>21139201936</v>
      </c>
      <c r="L488" s="1">
        <v>1072429747</v>
      </c>
      <c r="P488" s="1">
        <f>SUM(D488:O488)</f>
        <v>80179029126</v>
      </c>
      <c r="U488" s="1">
        <f>P488+61294698860</f>
        <v>141473727986</v>
      </c>
    </row>
    <row r="489" spans="1:16" ht="12.75">
      <c r="A489" s="1" t="s">
        <v>84</v>
      </c>
      <c r="D489" s="1">
        <f>3296664</f>
        <v>3296664</v>
      </c>
      <c r="G489" s="1">
        <f>7663868605+549547497</f>
        <v>8213416102</v>
      </c>
      <c r="J489" s="1">
        <f>1957454144+386174221</f>
        <v>2343628365</v>
      </c>
      <c r="L489" s="1">
        <f>122217861+73323721</f>
        <v>195541582</v>
      </c>
      <c r="P489" s="1">
        <f>D489+G489+J489+L489+N489</f>
        <v>10755882713</v>
      </c>
    </row>
    <row r="490" spans="1:16" ht="12.75">
      <c r="A490" s="1" t="s">
        <v>88</v>
      </c>
      <c r="D490" s="1">
        <f>SUM(D491:F493)</f>
        <v>0</v>
      </c>
      <c r="G490" s="1">
        <f>G492</f>
        <v>0</v>
      </c>
      <c r="J490" s="1">
        <f>SUM(J491:K493)</f>
        <v>36400000</v>
      </c>
      <c r="L490" s="1">
        <f>SUM(L491:M493)</f>
        <v>0</v>
      </c>
      <c r="P490" s="1">
        <f>D490+G490+J490+L490+N490</f>
        <v>36400000</v>
      </c>
    </row>
    <row r="491" spans="1:16" ht="12.75">
      <c r="A491" s="1" t="s">
        <v>95</v>
      </c>
      <c r="P491" s="1">
        <f>D491+H491+J491+L491+N491</f>
        <v>0</v>
      </c>
    </row>
    <row r="492" spans="1:16" ht="12.75">
      <c r="A492" s="1" t="s">
        <v>96</v>
      </c>
      <c r="J492" s="1">
        <v>36400000</v>
      </c>
      <c r="P492" s="1">
        <f>J492+G492</f>
        <v>36400000</v>
      </c>
    </row>
    <row r="493" spans="1:16" ht="12.75">
      <c r="A493" s="1" t="s">
        <v>91</v>
      </c>
      <c r="J493" s="1">
        <v>0</v>
      </c>
      <c r="P493" s="1">
        <f>D493+G493+J493+L493+N493</f>
        <v>0</v>
      </c>
    </row>
    <row r="494" spans="1:16" ht="12.75">
      <c r="A494" s="1" t="s">
        <v>92</v>
      </c>
      <c r="D494" s="1">
        <f>D488+D489-D490</f>
        <v>57084140</v>
      </c>
      <c r="G494" s="1">
        <f>G488+G489-G490</f>
        <v>66127026069</v>
      </c>
      <c r="J494" s="1">
        <f>J488+J489-J490</f>
        <v>23446430301</v>
      </c>
      <c r="L494" s="1">
        <f>L488+L489</f>
        <v>1267971329</v>
      </c>
      <c r="N494" s="1">
        <f>N489+N488</f>
        <v>0</v>
      </c>
      <c r="P494" s="1">
        <f>P488+P489-P490</f>
        <v>90898511839</v>
      </c>
    </row>
    <row r="495" spans="1:21" ht="12.75">
      <c r="A495" s="1" t="s">
        <v>97</v>
      </c>
      <c r="U495" s="1" t="e">
        <f>A495-P486</f>
        <v>#VALUE!</v>
      </c>
    </row>
    <row r="496" spans="1:21" ht="12.75">
      <c r="A496" s="1" t="s">
        <v>83</v>
      </c>
      <c r="D496" s="1">
        <f>D477-D488</f>
        <v>11243477</v>
      </c>
      <c r="G496" s="1">
        <f>G477-G488</f>
        <v>40968463825</v>
      </c>
      <c r="J496" s="1">
        <f>J477-J488</f>
        <v>7662797389</v>
      </c>
      <c r="L496" s="1">
        <f>L477-L488</f>
        <v>347138944</v>
      </c>
      <c r="N496" s="1">
        <f>N477-N488</f>
        <v>0</v>
      </c>
      <c r="P496" s="1">
        <f>SUM(D496:O496)</f>
        <v>48989643635</v>
      </c>
      <c r="U496" s="1">
        <f>P486-45808816199</f>
        <v>98485593111</v>
      </c>
    </row>
    <row r="497" spans="1:16" ht="12.75">
      <c r="A497" s="1" t="s">
        <v>98</v>
      </c>
      <c r="D497" s="1">
        <f>D486-D494</f>
        <v>7946813</v>
      </c>
      <c r="G497" s="1">
        <f>G486-G494</f>
        <v>45685041375</v>
      </c>
      <c r="J497" s="1">
        <f>J486-J494</f>
        <v>7356337541</v>
      </c>
      <c r="L497" s="1">
        <f>L486-L494</f>
        <v>346571742</v>
      </c>
      <c r="N497" s="1">
        <f>N486-N494</f>
        <v>0</v>
      </c>
      <c r="P497" s="1">
        <f>P486-P494</f>
        <v>53395897471</v>
      </c>
    </row>
    <row r="498" ht="12.75">
      <c r="B498" s="1" t="s">
        <v>99</v>
      </c>
    </row>
    <row r="499" ht="12.75">
      <c r="B499" s="1" t="s">
        <v>100</v>
      </c>
    </row>
    <row r="500" ht="12.75">
      <c r="B500" s="1" t="s">
        <v>101</v>
      </c>
    </row>
    <row r="501" ht="12.75">
      <c r="B501" s="1" t="s">
        <v>102</v>
      </c>
    </row>
    <row r="503" spans="1:2" ht="12.75">
      <c r="A503" s="1" t="s">
        <v>664</v>
      </c>
      <c r="B503" s="1" t="s">
        <v>103</v>
      </c>
    </row>
    <row r="505" spans="1:16" ht="12.75">
      <c r="A505" s="1" t="s">
        <v>104</v>
      </c>
      <c r="G505" s="1" t="s">
        <v>78</v>
      </c>
      <c r="J505" s="1" t="s">
        <v>79</v>
      </c>
      <c r="L505" s="1" t="s">
        <v>80</v>
      </c>
      <c r="N505" s="1" t="s">
        <v>105</v>
      </c>
      <c r="P505" s="1" t="s">
        <v>67</v>
      </c>
    </row>
    <row r="506" ht="12.75">
      <c r="A506" s="1" t="s">
        <v>82</v>
      </c>
    </row>
    <row r="507" spans="1:16" ht="12.75">
      <c r="A507" s="1" t="s">
        <v>83</v>
      </c>
      <c r="P507" s="1">
        <f aca="true" t="shared" si="0" ref="P507:P513">D507+G507+J507+L507+N507</f>
        <v>0</v>
      </c>
    </row>
    <row r="508" spans="1:16" ht="12.75">
      <c r="A508" s="1" t="s">
        <v>84</v>
      </c>
      <c r="G508" s="1">
        <f>SUM(H509:I509)</f>
        <v>0</v>
      </c>
      <c r="J508" s="1">
        <f>SUM(J509:K509)</f>
        <v>0</v>
      </c>
      <c r="L508" s="1">
        <f>SUM(L509:M509)</f>
        <v>0</v>
      </c>
      <c r="N508" s="1">
        <f>SUM(N509:O509)</f>
        <v>0</v>
      </c>
      <c r="P508" s="1">
        <f t="shared" si="0"/>
        <v>0</v>
      </c>
    </row>
    <row r="509" spans="1:16" ht="12.75">
      <c r="A509" s="1" t="s">
        <v>106</v>
      </c>
      <c r="J509" s="1">
        <v>0</v>
      </c>
      <c r="N509" s="1">
        <v>0</v>
      </c>
      <c r="P509" s="1">
        <f t="shared" si="0"/>
        <v>0</v>
      </c>
    </row>
    <row r="510" spans="1:16" ht="12.75">
      <c r="A510" s="1" t="s">
        <v>88</v>
      </c>
      <c r="G510" s="1">
        <f>SUM(G511:I512)</f>
        <v>0</v>
      </c>
      <c r="J510" s="1">
        <f>SUM(J511:K512)</f>
        <v>0</v>
      </c>
      <c r="L510" s="1">
        <f>SUM(L511:M512)</f>
        <v>0</v>
      </c>
      <c r="N510" s="1">
        <f>SUM(N511:O512)</f>
        <v>0</v>
      </c>
      <c r="P510" s="1">
        <f t="shared" si="0"/>
        <v>0</v>
      </c>
    </row>
    <row r="511" spans="1:16" ht="12.75">
      <c r="A511" s="1" t="s">
        <v>107</v>
      </c>
      <c r="P511" s="1">
        <f t="shared" si="0"/>
        <v>0</v>
      </c>
    </row>
    <row r="512" spans="1:16" ht="12.75">
      <c r="A512" s="1" t="s">
        <v>108</v>
      </c>
      <c r="J512" s="1">
        <v>0</v>
      </c>
      <c r="P512" s="1">
        <f t="shared" si="0"/>
        <v>0</v>
      </c>
    </row>
    <row r="513" spans="1:16" ht="12.75">
      <c r="A513" s="1" t="s">
        <v>92</v>
      </c>
      <c r="G513" s="1">
        <f>G507+G508-G510</f>
        <v>0</v>
      </c>
      <c r="J513" s="1">
        <f>J507+J508-J510</f>
        <v>0</v>
      </c>
      <c r="L513" s="1">
        <f>L507+L508-L510</f>
        <v>0</v>
      </c>
      <c r="N513" s="1">
        <f>N507+N508-N510</f>
        <v>0</v>
      </c>
      <c r="P513" s="1">
        <f t="shared" si="0"/>
        <v>0</v>
      </c>
    </row>
    <row r="515" ht="12.75">
      <c r="A515" s="1" t="s">
        <v>93</v>
      </c>
    </row>
    <row r="516" spans="1:16" ht="12.75">
      <c r="A516" s="1" t="s">
        <v>94</v>
      </c>
      <c r="P516" s="1">
        <f>D516+G516+J516+L516+N516</f>
        <v>0</v>
      </c>
    </row>
    <row r="517" spans="1:16" ht="12.75">
      <c r="A517" s="1" t="s">
        <v>109</v>
      </c>
      <c r="P517" s="1">
        <f>D517+G517+J517+L517+N517</f>
        <v>0</v>
      </c>
    </row>
    <row r="518" spans="1:16" ht="12.75">
      <c r="A518" s="1" t="s">
        <v>110</v>
      </c>
      <c r="G518" s="1">
        <f>SUM(G519:I520)</f>
        <v>0</v>
      </c>
      <c r="J518" s="1">
        <f>SUM(J519:K520)</f>
        <v>0</v>
      </c>
      <c r="L518" s="1">
        <f>SUM(L519:M520)</f>
        <v>0</v>
      </c>
      <c r="N518" s="1">
        <f>SUM(N519:O520)</f>
        <v>0</v>
      </c>
      <c r="P518" s="1">
        <f>D518+G518+J518+L518+N518</f>
        <v>0</v>
      </c>
    </row>
    <row r="519" spans="1:16" ht="12.75">
      <c r="A519" s="1" t="s">
        <v>107</v>
      </c>
      <c r="P519" s="1">
        <f>D519+H519+J519+L519+N519</f>
        <v>0</v>
      </c>
    </row>
    <row r="520" spans="1:16" ht="12.75">
      <c r="A520" s="1" t="s">
        <v>108</v>
      </c>
      <c r="P520" s="1">
        <f>D520+H520+J520+L520+N520</f>
        <v>0</v>
      </c>
    </row>
    <row r="521" spans="1:16" ht="12.75">
      <c r="A521" s="1" t="s">
        <v>92</v>
      </c>
      <c r="G521" s="1">
        <f>G516+G517-G518</f>
        <v>0</v>
      </c>
      <c r="J521" s="1">
        <f>J516+J517-J518</f>
        <v>0</v>
      </c>
      <c r="L521" s="1">
        <f>L516+L517-L518</f>
        <v>0</v>
      </c>
      <c r="N521" s="1">
        <f>N516+N517-N518</f>
        <v>0</v>
      </c>
      <c r="P521" s="1">
        <f>SUM(D521:O521)</f>
        <v>0</v>
      </c>
    </row>
    <row r="523" ht="12.75">
      <c r="A523" s="1" t="s">
        <v>111</v>
      </c>
    </row>
    <row r="524" spans="1:16" ht="12.75">
      <c r="A524" s="1" t="s">
        <v>83</v>
      </c>
      <c r="G524" s="1">
        <f>G507-G516</f>
        <v>0</v>
      </c>
      <c r="J524" s="1">
        <f>J507-J516</f>
        <v>0</v>
      </c>
      <c r="L524" s="1">
        <f>L507-L516</f>
        <v>0</v>
      </c>
      <c r="N524" s="1">
        <f>N507-N516</f>
        <v>0</v>
      </c>
      <c r="P524" s="1">
        <f>D524+G524+J524+L524+N524</f>
        <v>0</v>
      </c>
    </row>
    <row r="525" spans="1:16" ht="12.75">
      <c r="A525" s="1" t="s">
        <v>98</v>
      </c>
      <c r="G525" s="1">
        <f>G513-G521</f>
        <v>0</v>
      </c>
      <c r="J525" s="1">
        <f>J513-J521</f>
        <v>0</v>
      </c>
      <c r="L525" s="1">
        <f>L513-L521</f>
        <v>0</v>
      </c>
      <c r="N525" s="1">
        <f>N513-N521</f>
        <v>0</v>
      </c>
      <c r="P525" s="1">
        <f>D525+G525+J525+L525+N525</f>
        <v>0</v>
      </c>
    </row>
    <row r="527" ht="12.75">
      <c r="B527" s="1" t="s">
        <v>112</v>
      </c>
    </row>
    <row r="528" ht="12.75">
      <c r="B528" s="1" t="s">
        <v>113</v>
      </c>
    </row>
    <row r="529" ht="12.75">
      <c r="B529" s="1" t="s">
        <v>114</v>
      </c>
    </row>
    <row r="531" spans="1:2" ht="12.75">
      <c r="A531" s="1" t="s">
        <v>666</v>
      </c>
      <c r="B531" s="1" t="s">
        <v>115</v>
      </c>
    </row>
    <row r="533" spans="1:16" ht="12.75">
      <c r="A533" s="1" t="str">
        <f>A505</f>
        <v>Chæ tieâu</v>
      </c>
      <c r="D533" s="1" t="s">
        <v>116</v>
      </c>
      <c r="G533" s="1" t="s">
        <v>117</v>
      </c>
      <c r="J533" s="1" t="s">
        <v>118</v>
      </c>
      <c r="L533" s="1" t="s">
        <v>119</v>
      </c>
      <c r="N533" s="1" t="s">
        <v>105</v>
      </c>
      <c r="P533" s="1" t="s">
        <v>67</v>
      </c>
    </row>
    <row r="535" ht="12.75">
      <c r="A535" s="1" t="s">
        <v>82</v>
      </c>
    </row>
    <row r="536" spans="1:16" ht="12.75">
      <c r="A536" s="1" t="s">
        <v>83</v>
      </c>
      <c r="J536" s="1">
        <v>350000000</v>
      </c>
      <c r="N536" s="1">
        <v>2883095810</v>
      </c>
      <c r="P536" s="1">
        <f aca="true" t="shared" si="1" ref="P536:P545">D536+G536+J536+L536+N536</f>
        <v>3233095810</v>
      </c>
    </row>
    <row r="537" spans="1:16" ht="12.75">
      <c r="A537" s="1" t="s">
        <v>84</v>
      </c>
      <c r="D537" s="1">
        <f>SUM(D538:E541)</f>
        <v>0</v>
      </c>
      <c r="G537" s="1">
        <f>SUM(H538:I541)</f>
        <v>0</v>
      </c>
      <c r="J537" s="1">
        <f>SUM(J538:K541)</f>
        <v>0</v>
      </c>
      <c r="L537" s="1">
        <f>SUM(L538:M541)</f>
        <v>0</v>
      </c>
      <c r="N537" s="1">
        <f>SUM(N538:O541)</f>
        <v>0</v>
      </c>
      <c r="P537" s="1">
        <f t="shared" si="1"/>
        <v>0</v>
      </c>
    </row>
    <row r="538" spans="1:21" ht="12.75">
      <c r="A538" s="1" t="s">
        <v>85</v>
      </c>
      <c r="J538" s="1">
        <v>0</v>
      </c>
      <c r="N538" s="1">
        <v>0</v>
      </c>
      <c r="P538" s="1">
        <f t="shared" si="1"/>
        <v>0</v>
      </c>
      <c r="U538" s="1">
        <f>3233095810-1104763000</f>
        <v>2128332810</v>
      </c>
    </row>
    <row r="539" spans="1:16" ht="12.75">
      <c r="A539" s="1" t="s">
        <v>120</v>
      </c>
      <c r="G539" s="1">
        <v>0</v>
      </c>
      <c r="J539" s="1">
        <v>0</v>
      </c>
      <c r="L539" s="1">
        <v>0</v>
      </c>
      <c r="N539" s="1">
        <v>0</v>
      </c>
      <c r="P539" s="1">
        <f t="shared" si="1"/>
        <v>0</v>
      </c>
    </row>
    <row r="540" spans="1:16" ht="12.75">
      <c r="A540" s="1" t="s">
        <v>121</v>
      </c>
      <c r="P540" s="1">
        <f t="shared" si="1"/>
        <v>0</v>
      </c>
    </row>
    <row r="541" spans="1:16" ht="12.75">
      <c r="A541" s="1" t="s">
        <v>87</v>
      </c>
      <c r="P541" s="1">
        <f t="shared" si="1"/>
        <v>0</v>
      </c>
    </row>
    <row r="542" spans="1:16" ht="12.75">
      <c r="A542" s="1" t="s">
        <v>88</v>
      </c>
      <c r="D542" s="1">
        <f>SUM(D543:E544)</f>
        <v>0</v>
      </c>
      <c r="G542" s="1">
        <f>SUM(G543:I544)</f>
        <v>0</v>
      </c>
      <c r="J542" s="1">
        <f>SUM(J543:K544)</f>
        <v>0</v>
      </c>
      <c r="L542" s="1">
        <f>SUM(L543:M544)</f>
        <v>0</v>
      </c>
      <c r="N542" s="1">
        <f>SUM(N543:O544)</f>
        <v>2128332810</v>
      </c>
      <c r="P542" s="1">
        <f t="shared" si="1"/>
        <v>2128332810</v>
      </c>
    </row>
    <row r="543" spans="1:16" ht="12.75">
      <c r="A543" s="1" t="s">
        <v>122</v>
      </c>
      <c r="P543" s="1">
        <f t="shared" si="1"/>
        <v>0</v>
      </c>
    </row>
    <row r="544" spans="1:16" ht="12.75">
      <c r="A544" s="1" t="s">
        <v>91</v>
      </c>
      <c r="J544" s="1">
        <v>0</v>
      </c>
      <c r="N544" s="1">
        <v>2128332810</v>
      </c>
      <c r="P544" s="1">
        <f t="shared" si="1"/>
        <v>2128332810</v>
      </c>
    </row>
    <row r="545" spans="1:16" ht="12.75">
      <c r="A545" s="1" t="s">
        <v>92</v>
      </c>
      <c r="D545" s="1">
        <f>D536+D537-D542</f>
        <v>0</v>
      </c>
      <c r="G545" s="1">
        <f>G536+G537-G542</f>
        <v>0</v>
      </c>
      <c r="J545" s="1">
        <f>J536+J537-J542</f>
        <v>350000000</v>
      </c>
      <c r="L545" s="1">
        <f>L536+L537-L542</f>
        <v>0</v>
      </c>
      <c r="N545" s="1">
        <f>N536+N537-N542</f>
        <v>754763000</v>
      </c>
      <c r="P545" s="1">
        <f t="shared" si="1"/>
        <v>1104763000</v>
      </c>
    </row>
    <row r="547" ht="12.75">
      <c r="A547" s="1" t="s">
        <v>93</v>
      </c>
    </row>
    <row r="548" spans="1:16" ht="12.75">
      <c r="A548" s="1" t="s">
        <v>94</v>
      </c>
      <c r="J548" s="1">
        <v>236249989</v>
      </c>
      <c r="N548" s="1">
        <v>2242936668</v>
      </c>
      <c r="P548" s="1">
        <f>D548+G548+J548+L548+N548</f>
        <v>2479186657</v>
      </c>
    </row>
    <row r="549" spans="1:21" ht="12.75">
      <c r="A549" s="1" t="s">
        <v>84</v>
      </c>
      <c r="J549" s="1">
        <f>18633333*2</f>
        <v>37266666</v>
      </c>
      <c r="N549" s="1">
        <v>155590752</v>
      </c>
      <c r="P549" s="1">
        <f>D549+G549+J549+L549+N549</f>
        <v>192857418</v>
      </c>
      <c r="U549" s="1">
        <f>192857418-J549</f>
        <v>155590752</v>
      </c>
    </row>
    <row r="550" spans="1:16" ht="12.75">
      <c r="A550" s="1" t="s">
        <v>88</v>
      </c>
      <c r="D550" s="1">
        <f>SUM(D551:F552)</f>
        <v>0</v>
      </c>
      <c r="G550" s="1">
        <f>SUM(G551:I552)</f>
        <v>0</v>
      </c>
      <c r="J550" s="1">
        <f>SUM(J551:K552)</f>
        <v>0</v>
      </c>
      <c r="L550" s="1">
        <f>SUM(L551:M552)</f>
        <v>0</v>
      </c>
      <c r="N550" s="1">
        <f>SUM(N551:O552)</f>
        <v>2014582799</v>
      </c>
      <c r="P550" s="1">
        <f>D550+G550+J550+L550+N550</f>
        <v>2014582799</v>
      </c>
    </row>
    <row r="551" spans="1:16" ht="12.75">
      <c r="A551" s="1" t="s">
        <v>122</v>
      </c>
      <c r="P551" s="1">
        <f>D551+G551+J551+L551+N551</f>
        <v>0</v>
      </c>
    </row>
    <row r="552" spans="1:21" ht="12.75">
      <c r="A552" s="1" t="s">
        <v>91</v>
      </c>
      <c r="J552" s="1">
        <v>0</v>
      </c>
      <c r="N552" s="1">
        <v>2014582799</v>
      </c>
      <c r="P552" s="1">
        <f>D552+G552+J552+L552+N552</f>
        <v>2014582799</v>
      </c>
      <c r="U552" s="1">
        <f>P553-657461276</f>
        <v>0</v>
      </c>
    </row>
    <row r="553" spans="1:16" ht="12.75">
      <c r="A553" s="1" t="s">
        <v>92</v>
      </c>
      <c r="D553" s="1">
        <f>D548+D549-D550</f>
        <v>0</v>
      </c>
      <c r="G553" s="1">
        <f>G548+G549-G550</f>
        <v>0</v>
      </c>
      <c r="J553" s="1">
        <f>J548+J549-J550</f>
        <v>273516655</v>
      </c>
      <c r="L553" s="1">
        <f>L548+L549-L550</f>
        <v>0</v>
      </c>
      <c r="N553" s="1">
        <f>N548+N549-N550</f>
        <v>383944621</v>
      </c>
      <c r="P553" s="1">
        <f>SUM(D553:O553)</f>
        <v>657461276</v>
      </c>
    </row>
    <row r="555" ht="12.75">
      <c r="A555" s="1" t="s">
        <v>111</v>
      </c>
    </row>
    <row r="556" spans="1:16" ht="12.75">
      <c r="A556" s="1" t="s">
        <v>83</v>
      </c>
      <c r="D556" s="1">
        <f>D536-D548</f>
        <v>0</v>
      </c>
      <c r="G556" s="1">
        <f>G536-G548</f>
        <v>0</v>
      </c>
      <c r="J556" s="1">
        <f>J536-J548</f>
        <v>113750011</v>
      </c>
      <c r="L556" s="1">
        <f>L536-L548</f>
        <v>0</v>
      </c>
      <c r="N556" s="1">
        <f>N536-N548</f>
        <v>640159142</v>
      </c>
      <c r="P556" s="1">
        <f>D556+G556+J556+L556+N556</f>
        <v>753909153</v>
      </c>
    </row>
    <row r="557" spans="1:16" ht="12.75">
      <c r="A557" s="1" t="s">
        <v>98</v>
      </c>
      <c r="D557" s="1">
        <f>D545-D553</f>
        <v>0</v>
      </c>
      <c r="G557" s="1">
        <f>G545-G553</f>
        <v>0</v>
      </c>
      <c r="J557" s="1">
        <f>J556-J549</f>
        <v>76483345</v>
      </c>
      <c r="L557" s="1">
        <f>L545-L553</f>
        <v>0</v>
      </c>
      <c r="N557" s="1">
        <f>N545-N553</f>
        <v>370818379</v>
      </c>
      <c r="P557" s="1">
        <f>D557+G557+J557+L557+N557</f>
        <v>447301724</v>
      </c>
    </row>
    <row r="559" spans="1:2" ht="12.75">
      <c r="A559" s="1" t="s">
        <v>678</v>
      </c>
      <c r="B559" s="1" t="s">
        <v>123</v>
      </c>
    </row>
    <row r="560" spans="12:16" ht="12.75">
      <c r="L560" s="1">
        <f>$L$406</f>
        <v>39263</v>
      </c>
      <c r="P560" s="1">
        <f>$P$406</f>
        <v>39082</v>
      </c>
    </row>
    <row r="561" spans="2:16" ht="12.75">
      <c r="B561" s="1" t="s">
        <v>123</v>
      </c>
      <c r="L561" s="1">
        <v>106084551296</v>
      </c>
      <c r="P561" s="1">
        <v>584126567</v>
      </c>
    </row>
    <row r="562" ht="12.75">
      <c r="B562" s="1" t="s">
        <v>124</v>
      </c>
    </row>
    <row r="563" spans="2:16" ht="12.75">
      <c r="B563" s="1" t="s">
        <v>67</v>
      </c>
      <c r="L563" s="1">
        <f>SUM(L561:N562)</f>
        <v>106084551296</v>
      </c>
      <c r="P563" s="1">
        <f>SUM(P561:R562)</f>
        <v>584126567</v>
      </c>
    </row>
    <row r="565" spans="1:2" ht="12.75">
      <c r="A565" s="1" t="s">
        <v>697</v>
      </c>
      <c r="B565" s="1" t="s">
        <v>125</v>
      </c>
    </row>
    <row r="566" spans="7:16" ht="12.75">
      <c r="G566" s="1" t="s">
        <v>83</v>
      </c>
      <c r="J566" s="1" t="s">
        <v>126</v>
      </c>
      <c r="M566" s="1" t="s">
        <v>110</v>
      </c>
      <c r="P566" s="1" t="s">
        <v>127</v>
      </c>
    </row>
    <row r="567" spans="2:16" ht="12.75">
      <c r="B567" s="1" t="s">
        <v>82</v>
      </c>
      <c r="G567" s="1">
        <f>SUM(G568:I570)</f>
        <v>0</v>
      </c>
      <c r="J567" s="1">
        <f>SUM(J568:L570)</f>
        <v>0</v>
      </c>
      <c r="M567" s="1">
        <f>SUM(M568:O570)</f>
        <v>0</v>
      </c>
      <c r="P567" s="1">
        <f>SUM(P568:R570)</f>
        <v>0</v>
      </c>
    </row>
    <row r="568" spans="2:16" ht="12.75">
      <c r="B568" s="1" t="s">
        <v>116</v>
      </c>
      <c r="P568" s="1">
        <f>G568+J568-M568</f>
        <v>0</v>
      </c>
    </row>
    <row r="569" spans="2:16" ht="12.75">
      <c r="B569" s="1" t="s">
        <v>128</v>
      </c>
      <c r="P569" s="1">
        <f>G569+J569-M569</f>
        <v>0</v>
      </c>
    </row>
    <row r="570" spans="2:16" ht="12.75">
      <c r="B570" s="1" t="s">
        <v>129</v>
      </c>
      <c r="P570" s="1">
        <f>G570+J570-M570</f>
        <v>0</v>
      </c>
    </row>
    <row r="572" spans="2:16" ht="12.75">
      <c r="B572" s="1" t="s">
        <v>130</v>
      </c>
      <c r="G572" s="1">
        <f>SUM(G573:I575)</f>
        <v>0</v>
      </c>
      <c r="J572" s="1">
        <f>SUM(J573:L575)</f>
        <v>0</v>
      </c>
      <c r="M572" s="1">
        <f>SUM(M573:O575)</f>
        <v>0</v>
      </c>
      <c r="P572" s="1">
        <f>SUM(P573:R575)</f>
        <v>0</v>
      </c>
    </row>
    <row r="573" spans="2:16" ht="12.75">
      <c r="B573" s="1" t="s">
        <v>116</v>
      </c>
      <c r="P573" s="1">
        <f>G573+J573-M573</f>
        <v>0</v>
      </c>
    </row>
    <row r="574" spans="2:16" ht="12.75">
      <c r="B574" s="1" t="s">
        <v>128</v>
      </c>
      <c r="P574" s="1">
        <f>G574+J574-M574</f>
        <v>0</v>
      </c>
    </row>
    <row r="575" spans="2:16" ht="12.75">
      <c r="B575" s="1" t="s">
        <v>129</v>
      </c>
      <c r="P575" s="1">
        <f>G575+J575-M575</f>
        <v>0</v>
      </c>
    </row>
    <row r="577" spans="2:16" ht="12.75">
      <c r="B577" s="1" t="s">
        <v>111</v>
      </c>
      <c r="G577" s="1">
        <f>SUM(G578:I580)</f>
        <v>0</v>
      </c>
      <c r="J577" s="1">
        <f>SUM(J578:L580)</f>
        <v>0</v>
      </c>
      <c r="M577" s="1">
        <f>SUM(M578:O580)</f>
        <v>0</v>
      </c>
      <c r="P577" s="1">
        <f>SUM(P578:R580)</f>
        <v>0</v>
      </c>
    </row>
    <row r="578" spans="2:16" ht="12.75">
      <c r="B578" s="1" t="s">
        <v>116</v>
      </c>
      <c r="G578" s="1">
        <f>G568-G573</f>
        <v>0</v>
      </c>
      <c r="J578" s="1">
        <f>J568-J573</f>
        <v>0</v>
      </c>
      <c r="M578" s="1">
        <f>M568-M573</f>
        <v>0</v>
      </c>
      <c r="P578" s="1">
        <f>P568-P573</f>
        <v>0</v>
      </c>
    </row>
    <row r="579" spans="2:16" ht="12.75">
      <c r="B579" s="1" t="s">
        <v>128</v>
      </c>
      <c r="G579" s="1">
        <f>G569-G574</f>
        <v>0</v>
      </c>
      <c r="J579" s="1">
        <f>J569-J574</f>
        <v>0</v>
      </c>
      <c r="M579" s="1">
        <f>M569-M574</f>
        <v>0</v>
      </c>
      <c r="P579" s="1">
        <f>P569-P574</f>
        <v>0</v>
      </c>
    </row>
    <row r="580" spans="2:16" ht="12.75">
      <c r="B580" s="1" t="s">
        <v>129</v>
      </c>
      <c r="G580" s="1">
        <f>G570-G575</f>
        <v>0</v>
      </c>
      <c r="J580" s="1">
        <f>J570-J575</f>
        <v>0</v>
      </c>
      <c r="M580" s="1">
        <f>M570-M575</f>
        <v>0</v>
      </c>
      <c r="P580" s="1">
        <f>P570-P575</f>
        <v>0</v>
      </c>
    </row>
    <row r="582" spans="1:2" ht="12.75">
      <c r="A582" s="1" t="s">
        <v>700</v>
      </c>
      <c r="B582" s="1" t="s">
        <v>131</v>
      </c>
    </row>
    <row r="584" spans="12:16" ht="12.75">
      <c r="L584" s="1">
        <f>$L$406</f>
        <v>39263</v>
      </c>
      <c r="P584" s="1">
        <f>$P$406</f>
        <v>39082</v>
      </c>
    </row>
    <row r="585" ht="12.75">
      <c r="B585" s="1" t="s">
        <v>132</v>
      </c>
    </row>
    <row r="586" spans="2:16" ht="12.75">
      <c r="B586" s="1" t="s">
        <v>133</v>
      </c>
      <c r="L586" s="1">
        <v>0</v>
      </c>
      <c r="P586" s="1">
        <v>0</v>
      </c>
    </row>
    <row r="587" spans="2:16" ht="12.75">
      <c r="B587" s="1" t="s">
        <v>134</v>
      </c>
      <c r="L587" s="1">
        <v>0</v>
      </c>
      <c r="P587" s="1">
        <v>0</v>
      </c>
    </row>
    <row r="588" ht="12.75">
      <c r="B588" s="1" t="s">
        <v>135</v>
      </c>
    </row>
    <row r="589" ht="12.75">
      <c r="B589" s="1" t="s">
        <v>136</v>
      </c>
    </row>
    <row r="590" ht="12.75">
      <c r="B590" s="1" t="s">
        <v>137</v>
      </c>
    </row>
    <row r="591" ht="12.75">
      <c r="B591" s="1" t="s">
        <v>138</v>
      </c>
    </row>
    <row r="592" spans="2:12" ht="12.75">
      <c r="B592" s="1" t="s">
        <v>138</v>
      </c>
      <c r="L592" s="1">
        <v>5660000000</v>
      </c>
    </row>
    <row r="593" spans="2:16" ht="12.75">
      <c r="B593" s="1" t="s">
        <v>67</v>
      </c>
      <c r="L593" s="1">
        <f>L592</f>
        <v>5660000000</v>
      </c>
      <c r="P593" s="1">
        <f>SUM(P586:R591)</f>
        <v>0</v>
      </c>
    </row>
    <row r="594" spans="2:16" ht="12.75">
      <c r="B594" s="1" t="s">
        <v>139</v>
      </c>
      <c r="L594" s="1">
        <v>0</v>
      </c>
      <c r="P594" s="1">
        <v>0</v>
      </c>
    </row>
    <row r="595" spans="2:16" ht="12.75">
      <c r="B595" s="1" t="s">
        <v>140</v>
      </c>
      <c r="L595" s="1">
        <f>L593</f>
        <v>5660000000</v>
      </c>
      <c r="P595" s="1">
        <f>P593</f>
        <v>0</v>
      </c>
    </row>
    <row r="597" ht="12.75">
      <c r="B597" s="1" t="s">
        <v>141</v>
      </c>
    </row>
    <row r="599" spans="1:2" ht="12.75">
      <c r="A599" s="1" t="s">
        <v>704</v>
      </c>
      <c r="B599" s="1" t="s">
        <v>142</v>
      </c>
    </row>
    <row r="600" spans="12:16" ht="12.75">
      <c r="L600" s="1">
        <f>$L$406</f>
        <v>39263</v>
      </c>
      <c r="P600" s="1">
        <f>$P$406</f>
        <v>39082</v>
      </c>
    </row>
    <row r="601" spans="2:16" ht="12.75">
      <c r="B601" s="1" t="str">
        <f>B599</f>
        <v>Chi phí traû tröôùc daøi haïn</v>
      </c>
      <c r="L601" s="1">
        <v>1375235367</v>
      </c>
      <c r="P601" s="1">
        <v>78712953</v>
      </c>
    </row>
    <row r="602" spans="2:16" ht="12.75">
      <c r="B602" s="1" t="s">
        <v>143</v>
      </c>
      <c r="P602" s="1">
        <v>0</v>
      </c>
    </row>
    <row r="603" ht="12.75">
      <c r="B603" s="1" t="s">
        <v>144</v>
      </c>
    </row>
    <row r="604" ht="12.75">
      <c r="B604" s="1" t="s">
        <v>91</v>
      </c>
    </row>
    <row r="605" spans="2:16" ht="12.75">
      <c r="B605" s="1" t="str">
        <f>B593</f>
        <v>Toång coäng</v>
      </c>
      <c r="L605" s="1">
        <f>L601</f>
        <v>1375235367</v>
      </c>
      <c r="P605" s="1">
        <f>P601</f>
        <v>78712953</v>
      </c>
    </row>
    <row r="607" spans="1:21" ht="12.75">
      <c r="A607" s="1" t="s">
        <v>706</v>
      </c>
      <c r="B607" s="1" t="s">
        <v>145</v>
      </c>
      <c r="U607" s="1">
        <v>301591663971</v>
      </c>
    </row>
    <row r="608" spans="12:16" ht="12.75">
      <c r="L608" s="1">
        <f>$L$406</f>
        <v>39263</v>
      </c>
      <c r="P608" s="1">
        <f>$P$406</f>
        <v>39082</v>
      </c>
    </row>
    <row r="609" spans="2:16" ht="12.75">
      <c r="B609" s="1" t="s">
        <v>146</v>
      </c>
      <c r="L609" s="1">
        <v>83602113199</v>
      </c>
      <c r="P609" s="1">
        <v>107429277746</v>
      </c>
    </row>
    <row r="610" ht="12.75">
      <c r="B610" s="1" t="s">
        <v>147</v>
      </c>
    </row>
    <row r="611" ht="12.75">
      <c r="B611" s="1" t="s">
        <v>148</v>
      </c>
    </row>
    <row r="612" ht="12.75">
      <c r="B612" s="1" t="s">
        <v>149</v>
      </c>
    </row>
    <row r="613" spans="2:16" ht="12.75">
      <c r="B613" s="1" t="s">
        <v>67</v>
      </c>
      <c r="L613" s="1">
        <f>SUM(L609:N612)</f>
        <v>83602113199</v>
      </c>
      <c r="P613" s="1">
        <f>SUM(P609:R612)</f>
        <v>107429277746</v>
      </c>
    </row>
    <row r="615" ht="12.75">
      <c r="B615" s="1" t="s">
        <v>150</v>
      </c>
    </row>
    <row r="617" spans="2:14" ht="12.75">
      <c r="B617" s="1" t="s">
        <v>151</v>
      </c>
      <c r="H617" s="1" t="s">
        <v>152</v>
      </c>
      <c r="L617" s="1" t="s">
        <v>153</v>
      </c>
      <c r="N617" s="1" t="s">
        <v>154</v>
      </c>
    </row>
    <row r="618" spans="2:14" ht="12.75">
      <c r="B618" s="1" t="s">
        <v>151</v>
      </c>
      <c r="L618" s="1" t="s">
        <v>153</v>
      </c>
      <c r="N618" s="1" t="s">
        <v>154</v>
      </c>
    </row>
    <row r="619" spans="2:14" ht="12.75">
      <c r="B619" s="1" t="s">
        <v>151</v>
      </c>
      <c r="L619" s="1" t="s">
        <v>153</v>
      </c>
      <c r="N619" s="1" t="s">
        <v>154</v>
      </c>
    </row>
    <row r="620" spans="2:14" ht="12.75">
      <c r="B620" s="1" t="s">
        <v>151</v>
      </c>
      <c r="L620" s="1" t="s">
        <v>153</v>
      </c>
      <c r="N620" s="1" t="s">
        <v>154</v>
      </c>
    </row>
    <row r="621" spans="2:14" ht="12.75">
      <c r="B621" s="1" t="s">
        <v>151</v>
      </c>
      <c r="L621" s="1" t="s">
        <v>153</v>
      </c>
      <c r="N621" s="1" t="s">
        <v>154</v>
      </c>
    </row>
    <row r="622" spans="2:14" ht="12.75">
      <c r="B622" s="1" t="s">
        <v>151</v>
      </c>
      <c r="L622" s="1" t="s">
        <v>153</v>
      </c>
      <c r="N622" s="1" t="s">
        <v>154</v>
      </c>
    </row>
    <row r="625" spans="1:2" ht="12.75">
      <c r="A625" s="1" t="s">
        <v>708</v>
      </c>
      <c r="B625" s="1" t="s">
        <v>155</v>
      </c>
    </row>
    <row r="626" spans="12:16" ht="12.75">
      <c r="L626" s="1">
        <f>$L$406</f>
        <v>39263</v>
      </c>
      <c r="P626" s="1">
        <f>$P$406</f>
        <v>39082</v>
      </c>
    </row>
    <row r="627" spans="2:16" ht="12.75">
      <c r="B627" s="1" t="s">
        <v>156</v>
      </c>
      <c r="L627" s="1">
        <f>274297196+994738769</f>
        <v>1269035965</v>
      </c>
      <c r="P627" s="1">
        <v>3098276035</v>
      </c>
    </row>
    <row r="628" ht="12.75">
      <c r="B628" s="1" t="s">
        <v>157</v>
      </c>
    </row>
    <row r="629" ht="12.75">
      <c r="B629" s="1" t="s">
        <v>158</v>
      </c>
    </row>
    <row r="630" spans="2:12" ht="12.75">
      <c r="B630" s="1" t="s">
        <v>159</v>
      </c>
      <c r="L630" s="1">
        <v>153738520</v>
      </c>
    </row>
    <row r="631" spans="2:16" ht="12.75">
      <c r="B631" s="1" t="s">
        <v>160</v>
      </c>
      <c r="L631" s="1">
        <f>13128626+121050617</f>
        <v>134179243</v>
      </c>
      <c r="P631" s="1">
        <v>13876224</v>
      </c>
    </row>
    <row r="632" ht="12.75">
      <c r="B632" s="1" t="s">
        <v>161</v>
      </c>
    </row>
    <row r="633" ht="12.75">
      <c r="B633" s="1" t="s">
        <v>162</v>
      </c>
    </row>
    <row r="634" spans="2:16" ht="12.75">
      <c r="B634" s="1" t="s">
        <v>163</v>
      </c>
      <c r="K634" s="1" t="s">
        <v>545</v>
      </c>
      <c r="L634" s="1">
        <f>445748801</f>
        <v>445748801</v>
      </c>
      <c r="P634" s="1">
        <f>216133972+37128626</f>
        <v>253262598</v>
      </c>
    </row>
    <row r="635" spans="2:16" ht="12.75">
      <c r="B635" s="1" t="s">
        <v>67</v>
      </c>
      <c r="L635" s="1">
        <f>SUM(L627:N634)</f>
        <v>2002702529</v>
      </c>
      <c r="P635" s="1">
        <f>SUM(P627:R634)</f>
        <v>3365414857</v>
      </c>
    </row>
    <row r="637" spans="1:2" ht="12.75">
      <c r="A637" s="1" t="s">
        <v>710</v>
      </c>
      <c r="B637" s="1" t="s">
        <v>164</v>
      </c>
    </row>
    <row r="638" spans="12:16" ht="12.75">
      <c r="L638" s="1">
        <f>$L$406</f>
        <v>39263</v>
      </c>
      <c r="P638" s="1">
        <f>$P$406</f>
        <v>39082</v>
      </c>
    </row>
    <row r="639" spans="2:16" ht="12.75">
      <c r="B639" s="1" t="s">
        <v>164</v>
      </c>
      <c r="L639" s="1">
        <v>1571032111</v>
      </c>
      <c r="P639" s="1">
        <v>5819434726</v>
      </c>
    </row>
    <row r="640" spans="2:16" ht="12.75">
      <c r="B640" s="1" t="s">
        <v>165</v>
      </c>
      <c r="L640" s="1">
        <v>374661061</v>
      </c>
      <c r="P640" s="1">
        <v>185222291</v>
      </c>
    </row>
    <row r="641" spans="2:16" ht="12.75">
      <c r="B641" s="1" t="s">
        <v>67</v>
      </c>
      <c r="L641" s="1">
        <f>SUM(L639:N640)</f>
        <v>1945693172</v>
      </c>
      <c r="P641" s="1">
        <f>SUM(P639:R640)</f>
        <v>6004657017</v>
      </c>
    </row>
    <row r="643" spans="1:2" ht="12.75">
      <c r="A643" s="1" t="s">
        <v>166</v>
      </c>
      <c r="B643" s="1" t="s">
        <v>167</v>
      </c>
    </row>
    <row r="644" spans="12:16" ht="12.75">
      <c r="L644" s="1">
        <f>$L$406</f>
        <v>39263</v>
      </c>
      <c r="P644" s="1">
        <f>$P$406</f>
        <v>39082</v>
      </c>
    </row>
    <row r="645" spans="2:16" ht="12.75">
      <c r="B645" s="1" t="s">
        <v>168</v>
      </c>
      <c r="L645" s="1">
        <f>318109908+989546034</f>
        <v>1307655942</v>
      </c>
      <c r="P645" s="1">
        <v>1438336783</v>
      </c>
    </row>
    <row r="646" spans="2:16" ht="12.75">
      <c r="B646" s="1" t="s">
        <v>169</v>
      </c>
      <c r="L646" s="1">
        <f>309995415+46533420+2119694800</f>
        <v>2476223635</v>
      </c>
      <c r="P646" s="1">
        <v>641260780</v>
      </c>
    </row>
    <row r="647" spans="2:16" ht="12.75">
      <c r="B647" s="1" t="s">
        <v>170</v>
      </c>
      <c r="L647" s="1">
        <f>2972148313+20048827617-1565186804</f>
        <v>21455789126</v>
      </c>
      <c r="P647" s="1">
        <v>12631860859</v>
      </c>
    </row>
    <row r="648" spans="2:16" ht="12.75">
      <c r="B648" s="1" t="s">
        <v>67</v>
      </c>
      <c r="L648" s="1">
        <f>L647+L646+L645</f>
        <v>25239668703</v>
      </c>
      <c r="P648" s="1">
        <f>SUM(P645:R647)</f>
        <v>14711458422</v>
      </c>
    </row>
    <row r="650" spans="1:2" ht="12.75">
      <c r="A650" s="1" t="s">
        <v>11</v>
      </c>
      <c r="B650" s="1" t="s">
        <v>171</v>
      </c>
    </row>
    <row r="651" spans="12:16" ht="12.75">
      <c r="L651" s="1">
        <f>$L$406</f>
        <v>39263</v>
      </c>
      <c r="P651" s="1">
        <f>$P$406</f>
        <v>39082</v>
      </c>
    </row>
    <row r="652" ht="12.75">
      <c r="B652" s="1" t="s">
        <v>172</v>
      </c>
    </row>
    <row r="653" ht="12.75">
      <c r="B653" s="1" t="s">
        <v>173</v>
      </c>
    </row>
    <row r="654" ht="12.75">
      <c r="B654" s="1" t="s">
        <v>174</v>
      </c>
    </row>
    <row r="655" spans="2:16" ht="12.75">
      <c r="B655" s="1" t="s">
        <v>67</v>
      </c>
      <c r="L655" s="1">
        <f>SUM(L652:N653)</f>
        <v>0</v>
      </c>
      <c r="P655" s="1">
        <f>SUM(P652:R653)</f>
        <v>0</v>
      </c>
    </row>
    <row r="657" spans="1:16" ht="12.75">
      <c r="A657" s="1" t="s">
        <v>175</v>
      </c>
      <c r="B657" s="1" t="s">
        <v>176</v>
      </c>
      <c r="P657" s="1">
        <v>38533</v>
      </c>
    </row>
    <row r="658" spans="12:16" ht="12.75">
      <c r="L658" s="1">
        <f>$L$406</f>
        <v>39263</v>
      </c>
      <c r="P658" s="1">
        <f>$P$406</f>
        <v>39082</v>
      </c>
    </row>
    <row r="659" spans="2:16" ht="12.75">
      <c r="B659" s="1" t="s">
        <v>177</v>
      </c>
      <c r="L659" s="1">
        <f>152182526190-L660</f>
        <v>145014169996</v>
      </c>
      <c r="P659" s="1">
        <v>31850932331</v>
      </c>
    </row>
    <row r="660" spans="2:16" ht="12.75">
      <c r="B660" s="1" t="s">
        <v>178</v>
      </c>
      <c r="L660" s="1">
        <v>7168356194</v>
      </c>
      <c r="P660" s="1">
        <v>8668356194</v>
      </c>
    </row>
    <row r="661" spans="1:2" ht="12.75">
      <c r="A661" s="1" t="s">
        <v>576</v>
      </c>
      <c r="B661" s="1" t="s">
        <v>179</v>
      </c>
    </row>
    <row r="662" ht="12.75">
      <c r="B662" s="1" t="s">
        <v>180</v>
      </c>
    </row>
    <row r="663" ht="12.75">
      <c r="B663" s="1" t="s">
        <v>181</v>
      </c>
    </row>
    <row r="664" ht="12.75">
      <c r="B664" s="1" t="s">
        <v>182</v>
      </c>
    </row>
    <row r="665" spans="2:16" ht="12.75">
      <c r="B665" s="1" t="s">
        <v>67</v>
      </c>
      <c r="L665" s="1">
        <f>SUM(L659:N664)</f>
        <v>152182526190</v>
      </c>
      <c r="P665" s="1">
        <f>SUM(P659:R664)</f>
        <v>40519288525</v>
      </c>
    </row>
    <row r="667" ht="12.75">
      <c r="B667" s="1" t="s">
        <v>150</v>
      </c>
    </row>
    <row r="669" spans="2:14" ht="12.75">
      <c r="B669" s="1" t="s">
        <v>151</v>
      </c>
      <c r="H669" s="1" t="s">
        <v>152</v>
      </c>
      <c r="L669" s="1" t="s">
        <v>153</v>
      </c>
      <c r="N669" s="1" t="s">
        <v>154</v>
      </c>
    </row>
    <row r="670" spans="2:14" ht="12.75">
      <c r="B670" s="1" t="s">
        <v>183</v>
      </c>
      <c r="L670" s="1" t="s">
        <v>153</v>
      </c>
      <c r="N670" s="1" t="s">
        <v>184</v>
      </c>
    </row>
    <row r="671" ht="12.75">
      <c r="L671" s="1" t="s">
        <v>153</v>
      </c>
    </row>
    <row r="672" ht="12.75">
      <c r="L672" s="1" t="s">
        <v>153</v>
      </c>
    </row>
    <row r="673" ht="12.75">
      <c r="L673" s="1" t="s">
        <v>153</v>
      </c>
    </row>
    <row r="674" ht="12.75">
      <c r="L674" s="1" t="s">
        <v>153</v>
      </c>
    </row>
    <row r="676" spans="1:16" ht="12.75">
      <c r="A676" s="1" t="s">
        <v>175</v>
      </c>
      <c r="B676" s="1" t="s">
        <v>185</v>
      </c>
      <c r="P676" s="1">
        <v>38533</v>
      </c>
    </row>
    <row r="678" spans="7:13" ht="12.75">
      <c r="G678" s="1" t="s">
        <v>186</v>
      </c>
      <c r="M678" s="1" t="s">
        <v>187</v>
      </c>
    </row>
    <row r="679" spans="7:17" ht="12.75">
      <c r="G679" s="1" t="s">
        <v>188</v>
      </c>
      <c r="I679" s="1" t="s">
        <v>189</v>
      </c>
      <c r="K679" s="1" t="s">
        <v>190</v>
      </c>
      <c r="M679" s="1" t="s">
        <v>188</v>
      </c>
      <c r="O679" s="1" t="s">
        <v>189</v>
      </c>
      <c r="Q679" s="1" t="s">
        <v>190</v>
      </c>
    </row>
    <row r="680" ht="12.75">
      <c r="B680" s="1" t="s">
        <v>191</v>
      </c>
    </row>
    <row r="681" ht="12.75">
      <c r="B681" s="1" t="s">
        <v>192</v>
      </c>
    </row>
    <row r="682" ht="12.75">
      <c r="B682" s="1" t="s">
        <v>193</v>
      </c>
    </row>
    <row r="684" spans="1:2" ht="12.75">
      <c r="A684" s="1" t="s">
        <v>194</v>
      </c>
      <c r="B684" s="1" t="s">
        <v>195</v>
      </c>
    </row>
    <row r="685" spans="12:16" ht="12.75">
      <c r="L685" s="1">
        <f>$L$406</f>
        <v>39263</v>
      </c>
      <c r="P685" s="1">
        <f>$P$406</f>
        <v>39082</v>
      </c>
    </row>
    <row r="687" ht="12.75">
      <c r="B687" s="1" t="s">
        <v>67</v>
      </c>
    </row>
    <row r="689" spans="1:2" ht="12.75">
      <c r="A689" s="1" t="s">
        <v>196</v>
      </c>
      <c r="B689" s="1" t="s">
        <v>197</v>
      </c>
    </row>
    <row r="690" spans="12:16" ht="12.75">
      <c r="L690" s="1">
        <f>$L$406</f>
        <v>39263</v>
      </c>
      <c r="P690" s="1">
        <f>$P$406</f>
        <v>39082</v>
      </c>
    </row>
    <row r="691" spans="2:16" ht="12.75">
      <c r="B691" s="1" t="s">
        <v>198</v>
      </c>
      <c r="L691" s="1">
        <v>22000000000</v>
      </c>
      <c r="P691" s="1">
        <v>22000000000</v>
      </c>
    </row>
    <row r="692" ht="12.75">
      <c r="B692" s="1" t="s">
        <v>199</v>
      </c>
    </row>
    <row r="693" ht="12.75">
      <c r="B693" s="1" t="s">
        <v>200</v>
      </c>
    </row>
    <row r="694" ht="12.75">
      <c r="B694" s="1" t="s">
        <v>201</v>
      </c>
    </row>
    <row r="695" ht="12.75">
      <c r="B695" s="1" t="s">
        <v>202</v>
      </c>
    </row>
    <row r="696" spans="2:16" ht="12.75">
      <c r="B696" s="1" t="s">
        <v>203</v>
      </c>
      <c r="L696" s="1">
        <v>-22383499</v>
      </c>
      <c r="P696" s="1">
        <v>-22383499</v>
      </c>
    </row>
    <row r="697" spans="2:16" ht="12.75">
      <c r="B697" s="1" t="s">
        <v>204</v>
      </c>
      <c r="L697" s="1">
        <v>7067173349</v>
      </c>
      <c r="P697" s="1">
        <f>L697</f>
        <v>7067173349</v>
      </c>
    </row>
    <row r="698" spans="2:16" ht="12.75">
      <c r="B698" s="1" t="s">
        <v>205</v>
      </c>
      <c r="L698" s="1">
        <v>1023617136</v>
      </c>
      <c r="P698" s="1">
        <f>L698</f>
        <v>1023617136</v>
      </c>
    </row>
    <row r="699" ht="12.75">
      <c r="B699" s="1" t="s">
        <v>206</v>
      </c>
    </row>
    <row r="700" spans="2:16" ht="12.75">
      <c r="B700" s="1" t="s">
        <v>207</v>
      </c>
      <c r="L700" s="1">
        <v>5055883834</v>
      </c>
      <c r="P700" s="1">
        <v>10890863797</v>
      </c>
    </row>
    <row r="701" ht="12.75">
      <c r="B701" s="1" t="s">
        <v>208</v>
      </c>
    </row>
    <row r="702" spans="2:16" ht="12.75">
      <c r="B702" s="1" t="s">
        <v>67</v>
      </c>
      <c r="L702" s="1">
        <f>SUM(L691:N701)</f>
        <v>35124290820</v>
      </c>
      <c r="P702" s="1">
        <f>SUM(P691:R701)</f>
        <v>40959270783</v>
      </c>
    </row>
    <row r="704" spans="1:2" ht="12.75">
      <c r="A704" s="1" t="s">
        <v>209</v>
      </c>
      <c r="B704" s="1" t="s">
        <v>210</v>
      </c>
    </row>
    <row r="705" spans="12:16" ht="12.75">
      <c r="L705" s="1">
        <f>$L$406</f>
        <v>39263</v>
      </c>
      <c r="P705" s="1">
        <f>$P$406</f>
        <v>39082</v>
      </c>
    </row>
    <row r="706" spans="2:16" ht="12.75">
      <c r="B706" s="1" t="s">
        <v>211</v>
      </c>
      <c r="L706" s="1">
        <v>1961785595</v>
      </c>
      <c r="P706" s="1">
        <v>717228606</v>
      </c>
    </row>
    <row r="707" ht="12.75">
      <c r="B707" s="1" t="s">
        <v>212</v>
      </c>
    </row>
    <row r="708" ht="12.75">
      <c r="B708" s="1" t="s">
        <v>213</v>
      </c>
    </row>
    <row r="709" spans="2:16" ht="12.75">
      <c r="B709" s="1" t="s">
        <v>67</v>
      </c>
      <c r="L709" s="1">
        <f>SUM(L706:N708)</f>
        <v>1961785595</v>
      </c>
      <c r="P709" s="1">
        <f>SUM(P706:R708)</f>
        <v>717228606</v>
      </c>
    </row>
    <row r="711" spans="1:2" ht="12.75">
      <c r="A711" s="1" t="s">
        <v>214</v>
      </c>
      <c r="B711" s="1" t="s">
        <v>215</v>
      </c>
    </row>
    <row r="713" ht="12.75">
      <c r="B713" s="1" t="s">
        <v>216</v>
      </c>
    </row>
    <row r="714" spans="2:16" ht="12.75">
      <c r="B714" s="1" t="s">
        <v>217</v>
      </c>
      <c r="L714" s="1" t="s">
        <v>186</v>
      </c>
      <c r="P714" s="1" t="s">
        <v>187</v>
      </c>
    </row>
    <row r="715" ht="12.75">
      <c r="B715" s="1" t="s">
        <v>218</v>
      </c>
    </row>
    <row r="716" ht="12.75">
      <c r="B716" s="1" t="s">
        <v>67</v>
      </c>
    </row>
    <row r="718" spans="2:16" ht="12.75">
      <c r="B718" s="1" t="s">
        <v>219</v>
      </c>
      <c r="L718" s="1">
        <f>SUM(L716:N717)</f>
        <v>0</v>
      </c>
      <c r="P718" s="1">
        <f>SUM(P716:R717)</f>
        <v>0</v>
      </c>
    </row>
    <row r="719" ht="12.75">
      <c r="B719" s="1" t="s">
        <v>220</v>
      </c>
    </row>
    <row r="720" ht="12.75">
      <c r="B720" s="1" t="s">
        <v>221</v>
      </c>
    </row>
    <row r="721" ht="12.75">
      <c r="B721" s="1" t="s">
        <v>193</v>
      </c>
    </row>
    <row r="723" spans="1:2" ht="12.75">
      <c r="A723" s="1" t="s">
        <v>222</v>
      </c>
      <c r="B723" s="1" t="s">
        <v>223</v>
      </c>
    </row>
    <row r="725" spans="1:2" ht="12.75">
      <c r="A725" s="1" t="s">
        <v>224</v>
      </c>
      <c r="B725" s="1" t="s">
        <v>225</v>
      </c>
    </row>
    <row r="726" spans="1:2" ht="12.75">
      <c r="A726" s="1" t="s">
        <v>545</v>
      </c>
      <c r="B726" s="1" t="s">
        <v>226</v>
      </c>
    </row>
    <row r="727" spans="12:16" ht="12.75">
      <c r="L727" s="1" t="s">
        <v>227</v>
      </c>
      <c r="P727" s="1" t="s">
        <v>462</v>
      </c>
    </row>
    <row r="728" spans="2:16" ht="12.75">
      <c r="B728" s="1" t="s">
        <v>228</v>
      </c>
      <c r="L728" s="1">
        <f>L729</f>
        <v>131367426226</v>
      </c>
      <c r="P728" s="1">
        <f>P729+P730</f>
        <v>366078729660</v>
      </c>
    </row>
    <row r="729" spans="2:16" ht="12.75">
      <c r="B729" s="1" t="s">
        <v>229</v>
      </c>
      <c r="L729" s="1">
        <v>131367426226</v>
      </c>
      <c r="P729" s="1">
        <v>360646499660</v>
      </c>
    </row>
    <row r="730" spans="2:16" ht="12.75">
      <c r="B730" s="1" t="s">
        <v>230</v>
      </c>
      <c r="P730" s="1">
        <v>5432230000</v>
      </c>
    </row>
    <row r="731" spans="1:16" ht="12.75">
      <c r="A731" s="1" t="s">
        <v>231</v>
      </c>
      <c r="B731" s="1" t="s">
        <v>232</v>
      </c>
      <c r="L731" s="1">
        <f>L733</f>
        <v>1985886845</v>
      </c>
      <c r="P731" s="1">
        <f>P733+P734</f>
        <v>1437613029</v>
      </c>
    </row>
    <row r="732" ht="12.75">
      <c r="B732" s="1" t="s">
        <v>233</v>
      </c>
    </row>
    <row r="733" spans="2:16" ht="12.75">
      <c r="B733" s="1" t="s">
        <v>234</v>
      </c>
      <c r="L733" s="1">
        <v>1985886845</v>
      </c>
      <c r="P733" s="1">
        <v>1340716805</v>
      </c>
    </row>
    <row r="734" spans="2:16" ht="12.75">
      <c r="B734" s="1" t="s">
        <v>235</v>
      </c>
      <c r="P734" s="1">
        <v>96896224</v>
      </c>
    </row>
    <row r="735" ht="12.75">
      <c r="B735" s="1" t="s">
        <v>236</v>
      </c>
    </row>
    <row r="736" ht="12.75">
      <c r="B736" s="1" t="s">
        <v>237</v>
      </c>
    </row>
    <row r="737" ht="12.75">
      <c r="B737" s="1" t="s">
        <v>238</v>
      </c>
    </row>
    <row r="738" spans="1:16" ht="12.75">
      <c r="A738" s="1" t="s">
        <v>239</v>
      </c>
      <c r="B738" s="1" t="s">
        <v>240</v>
      </c>
      <c r="L738" s="1" t="s">
        <v>227</v>
      </c>
      <c r="P738" s="1" t="s">
        <v>462</v>
      </c>
    </row>
    <row r="739" spans="2:16" ht="12.75">
      <c r="B739" s="1" t="s">
        <v>241</v>
      </c>
      <c r="L739" s="1">
        <f>L728-L733</f>
        <v>129381539381</v>
      </c>
      <c r="P739" s="1">
        <f>P728-P731</f>
        <v>364641116631</v>
      </c>
    </row>
    <row r="740" ht="12.75">
      <c r="B740" s="1" t="s">
        <v>242</v>
      </c>
    </row>
    <row r="742" spans="1:16" ht="12.75">
      <c r="A742" s="1" t="s">
        <v>243</v>
      </c>
      <c r="B742" s="1" t="s">
        <v>244</v>
      </c>
      <c r="L742" s="1" t="s">
        <v>227</v>
      </c>
      <c r="P742" s="1" t="s">
        <v>462</v>
      </c>
    </row>
    <row r="744" ht="12.75">
      <c r="B744" s="1" t="s">
        <v>245</v>
      </c>
    </row>
    <row r="745" spans="2:16" ht="12.75">
      <c r="B745" s="1" t="s">
        <v>246</v>
      </c>
      <c r="L745" s="1">
        <v>101834194115</v>
      </c>
      <c r="P745" s="1">
        <v>317626898269</v>
      </c>
    </row>
    <row r="746" ht="12.75">
      <c r="B746" s="1" t="s">
        <v>247</v>
      </c>
    </row>
    <row r="747" ht="12.75">
      <c r="B747" s="1" t="s">
        <v>248</v>
      </c>
    </row>
    <row r="748" spans="2:16" ht="12.75">
      <c r="B748" s="1" t="s">
        <v>67</v>
      </c>
      <c r="C748" s="1" t="s">
        <v>249</v>
      </c>
      <c r="D748" s="1" t="s">
        <v>249</v>
      </c>
      <c r="E748" s="1" t="s">
        <v>249</v>
      </c>
      <c r="F748" s="1" t="s">
        <v>249</v>
      </c>
      <c r="G748" s="1" t="s">
        <v>249</v>
      </c>
      <c r="H748" s="1" t="s">
        <v>249</v>
      </c>
      <c r="I748" s="1" t="s">
        <v>249</v>
      </c>
      <c r="J748" s="1" t="s">
        <v>249</v>
      </c>
      <c r="L748" s="1">
        <f>SUM(L744:N745)</f>
        <v>101834194115</v>
      </c>
      <c r="P748" s="1">
        <f>SUM(P744:R745)</f>
        <v>317626898269</v>
      </c>
    </row>
    <row r="749" spans="1:16" ht="12.75">
      <c r="A749" s="1" t="s">
        <v>250</v>
      </c>
      <c r="B749" s="1" t="s">
        <v>251</v>
      </c>
      <c r="L749" s="1" t="s">
        <v>227</v>
      </c>
      <c r="P749" s="1" t="s">
        <v>462</v>
      </c>
    </row>
    <row r="751" spans="2:16" ht="12.75">
      <c r="B751" s="1" t="s">
        <v>252</v>
      </c>
      <c r="L751" s="1">
        <v>1248795469</v>
      </c>
      <c r="P751" s="1">
        <v>1386866877</v>
      </c>
    </row>
    <row r="752" ht="12.75">
      <c r="B752" s="1" t="s">
        <v>253</v>
      </c>
    </row>
    <row r="753" spans="2:10" ht="12.75">
      <c r="B753" s="1" t="s">
        <v>254</v>
      </c>
      <c r="C753" s="1" t="s">
        <v>254</v>
      </c>
      <c r="D753" s="1" t="s">
        <v>254</v>
      </c>
      <c r="E753" s="1" t="s">
        <v>254</v>
      </c>
      <c r="F753" s="1" t="s">
        <v>254</v>
      </c>
      <c r="G753" s="1" t="s">
        <v>254</v>
      </c>
      <c r="H753" s="1" t="s">
        <v>254</v>
      </c>
      <c r="I753" s="1" t="s">
        <v>254</v>
      </c>
      <c r="J753" s="1" t="s">
        <v>254</v>
      </c>
    </row>
    <row r="754" spans="2:10" ht="12.75">
      <c r="B754" s="1" t="s">
        <v>255</v>
      </c>
      <c r="C754" s="1" t="s">
        <v>255</v>
      </c>
      <c r="D754" s="1" t="s">
        <v>255</v>
      </c>
      <c r="E754" s="1" t="s">
        <v>255</v>
      </c>
      <c r="F754" s="1" t="s">
        <v>255</v>
      </c>
      <c r="G754" s="1" t="s">
        <v>255</v>
      </c>
      <c r="H754" s="1" t="s">
        <v>255</v>
      </c>
      <c r="I754" s="1" t="s">
        <v>255</v>
      </c>
      <c r="J754" s="1" t="s">
        <v>255</v>
      </c>
    </row>
    <row r="755" spans="2:10" ht="12.75">
      <c r="B755" s="1" t="s">
        <v>256</v>
      </c>
      <c r="C755" s="1" t="s">
        <v>256</v>
      </c>
      <c r="D755" s="1" t="s">
        <v>256</v>
      </c>
      <c r="E755" s="1" t="s">
        <v>256</v>
      </c>
      <c r="F755" s="1" t="s">
        <v>256</v>
      </c>
      <c r="G755" s="1" t="s">
        <v>256</v>
      </c>
      <c r="H755" s="1" t="s">
        <v>256</v>
      </c>
      <c r="I755" s="1" t="s">
        <v>256</v>
      </c>
      <c r="J755" s="1" t="s">
        <v>256</v>
      </c>
    </row>
    <row r="756" spans="2:10" ht="12.75">
      <c r="B756" s="1" t="s">
        <v>257</v>
      </c>
      <c r="C756" s="1" t="s">
        <v>257</v>
      </c>
      <c r="D756" s="1" t="s">
        <v>257</v>
      </c>
      <c r="E756" s="1" t="s">
        <v>257</v>
      </c>
      <c r="F756" s="1" t="s">
        <v>257</v>
      </c>
      <c r="G756" s="1" t="s">
        <v>257</v>
      </c>
      <c r="H756" s="1" t="s">
        <v>257</v>
      </c>
      <c r="I756" s="1" t="s">
        <v>257</v>
      </c>
      <c r="J756" s="1" t="s">
        <v>257</v>
      </c>
    </row>
    <row r="757" spans="2:10" ht="12.75">
      <c r="B757" s="1" t="s">
        <v>249</v>
      </c>
      <c r="C757" s="1" t="s">
        <v>249</v>
      </c>
      <c r="D757" s="1" t="s">
        <v>249</v>
      </c>
      <c r="E757" s="1" t="s">
        <v>249</v>
      </c>
      <c r="F757" s="1" t="s">
        <v>249</v>
      </c>
      <c r="G757" s="1" t="s">
        <v>249</v>
      </c>
      <c r="H757" s="1" t="s">
        <v>249</v>
      </c>
      <c r="I757" s="1" t="s">
        <v>249</v>
      </c>
      <c r="J757" s="1" t="s">
        <v>249</v>
      </c>
    </row>
    <row r="758" spans="2:16" ht="12.75">
      <c r="B758" s="1" t="s">
        <v>67</v>
      </c>
      <c r="C758" s="1" t="s">
        <v>249</v>
      </c>
      <c r="D758" s="1" t="s">
        <v>249</v>
      </c>
      <c r="E758" s="1" t="s">
        <v>249</v>
      </c>
      <c r="F758" s="1" t="s">
        <v>249</v>
      </c>
      <c r="G758" s="1" t="s">
        <v>249</v>
      </c>
      <c r="H758" s="1" t="s">
        <v>249</v>
      </c>
      <c r="I758" s="1" t="s">
        <v>249</v>
      </c>
      <c r="J758" s="1" t="s">
        <v>249</v>
      </c>
      <c r="L758" s="1">
        <f>L751</f>
        <v>1248795469</v>
      </c>
      <c r="P758" s="1">
        <f>P751</f>
        <v>1386866877</v>
      </c>
    </row>
    <row r="761" spans="1:2" ht="12.75">
      <c r="A761" s="1" t="s">
        <v>258</v>
      </c>
      <c r="B761" s="1" t="s">
        <v>259</v>
      </c>
    </row>
    <row r="762" spans="12:16" ht="12.75">
      <c r="L762" s="1" t="s">
        <v>227</v>
      </c>
      <c r="P762" s="1" t="s">
        <v>462</v>
      </c>
    </row>
    <row r="763" spans="2:16" ht="12.75">
      <c r="B763" s="1" t="s">
        <v>260</v>
      </c>
      <c r="C763" s="1" t="s">
        <v>260</v>
      </c>
      <c r="D763" s="1" t="s">
        <v>260</v>
      </c>
      <c r="E763" s="1" t="s">
        <v>260</v>
      </c>
      <c r="F763" s="1" t="s">
        <v>260</v>
      </c>
      <c r="G763" s="1" t="s">
        <v>260</v>
      </c>
      <c r="H763" s="1" t="s">
        <v>260</v>
      </c>
      <c r="I763" s="1" t="s">
        <v>260</v>
      </c>
      <c r="J763" s="1" t="s">
        <v>260</v>
      </c>
      <c r="L763" s="1">
        <v>27547345266</v>
      </c>
      <c r="P763" s="1">
        <v>13075649253</v>
      </c>
    </row>
    <row r="764" spans="2:10" ht="12.75">
      <c r="B764" s="1" t="s">
        <v>261</v>
      </c>
      <c r="C764" s="1" t="s">
        <v>261</v>
      </c>
      <c r="D764" s="1" t="s">
        <v>261</v>
      </c>
      <c r="E764" s="1" t="s">
        <v>261</v>
      </c>
      <c r="F764" s="1" t="s">
        <v>261</v>
      </c>
      <c r="G764" s="1" t="s">
        <v>261</v>
      </c>
      <c r="H764" s="1" t="s">
        <v>261</v>
      </c>
      <c r="I764" s="1" t="s">
        <v>261</v>
      </c>
      <c r="J764" s="1" t="s">
        <v>261</v>
      </c>
    </row>
    <row r="765" spans="2:10" ht="12.75">
      <c r="B765" s="1" t="s">
        <v>262</v>
      </c>
      <c r="C765" s="1" t="s">
        <v>262</v>
      </c>
      <c r="D765" s="1" t="s">
        <v>262</v>
      </c>
      <c r="E765" s="1" t="s">
        <v>262</v>
      </c>
      <c r="F765" s="1" t="s">
        <v>262</v>
      </c>
      <c r="G765" s="1" t="s">
        <v>262</v>
      </c>
      <c r="H765" s="1" t="s">
        <v>262</v>
      </c>
      <c r="I765" s="1" t="s">
        <v>262</v>
      </c>
      <c r="J765" s="1" t="s">
        <v>262</v>
      </c>
    </row>
    <row r="766" spans="2:16" ht="12.75">
      <c r="B766" s="1" t="s">
        <v>67</v>
      </c>
      <c r="C766" s="1" t="s">
        <v>249</v>
      </c>
      <c r="D766" s="1" t="s">
        <v>249</v>
      </c>
      <c r="E766" s="1" t="s">
        <v>249</v>
      </c>
      <c r="F766" s="1" t="s">
        <v>249</v>
      </c>
      <c r="G766" s="1" t="s">
        <v>249</v>
      </c>
      <c r="H766" s="1" t="s">
        <v>249</v>
      </c>
      <c r="I766" s="1" t="s">
        <v>249</v>
      </c>
      <c r="J766" s="1" t="s">
        <v>249</v>
      </c>
      <c r="L766" s="1">
        <f>SUM(L763:N765)</f>
        <v>27547345266</v>
      </c>
      <c r="P766" s="1">
        <f>SUM(P763:R765)</f>
        <v>13075649253</v>
      </c>
    </row>
    <row r="768" spans="1:16" ht="12.75">
      <c r="A768" s="1" t="s">
        <v>263</v>
      </c>
      <c r="B768" s="1" t="s">
        <v>264</v>
      </c>
      <c r="L768" s="1" t="s">
        <v>227</v>
      </c>
      <c r="P768" s="1" t="s">
        <v>462</v>
      </c>
    </row>
    <row r="769" spans="2:12" ht="12.75">
      <c r="B769" s="1" t="s">
        <v>264</v>
      </c>
      <c r="L769" s="1">
        <v>955618363</v>
      </c>
    </row>
    <row r="770" spans="2:16" ht="12.75">
      <c r="B770" s="1" t="s">
        <v>67</v>
      </c>
      <c r="C770" s="1" t="s">
        <v>249</v>
      </c>
      <c r="D770" s="1" t="s">
        <v>249</v>
      </c>
      <c r="E770" s="1" t="s">
        <v>249</v>
      </c>
      <c r="F770" s="1" t="s">
        <v>249</v>
      </c>
      <c r="G770" s="1" t="s">
        <v>249</v>
      </c>
      <c r="H770" s="1" t="s">
        <v>249</v>
      </c>
      <c r="I770" s="1" t="s">
        <v>249</v>
      </c>
      <c r="J770" s="1" t="s">
        <v>249</v>
      </c>
      <c r="L770" s="1">
        <f>SUM(L767:N769)</f>
        <v>955618363</v>
      </c>
      <c r="P770" s="1">
        <f>SUM(P767:R769)</f>
        <v>0</v>
      </c>
    </row>
    <row r="772" spans="1:16" ht="12.75">
      <c r="A772" s="1" t="s">
        <v>265</v>
      </c>
      <c r="B772" s="1" t="s">
        <v>266</v>
      </c>
      <c r="L772" s="1" t="s">
        <v>227</v>
      </c>
      <c r="P772" s="1" t="s">
        <v>462</v>
      </c>
    </row>
    <row r="774" spans="1:2" ht="12.75">
      <c r="A774" s="1" t="s">
        <v>267</v>
      </c>
      <c r="B774" s="1" t="s">
        <v>268</v>
      </c>
    </row>
    <row r="775" spans="12:16" ht="12.75">
      <c r="L775" s="1" t="s">
        <v>186</v>
      </c>
      <c r="P775" s="1" t="s">
        <v>187</v>
      </c>
    </row>
    <row r="776" spans="2:21" ht="12.75">
      <c r="B776" s="1" t="s">
        <v>269</v>
      </c>
      <c r="U776" s="1">
        <v>173013365267</v>
      </c>
    </row>
    <row r="777" spans="2:21" ht="12.75">
      <c r="B777" s="1" t="s">
        <v>270</v>
      </c>
      <c r="U777" s="1">
        <v>31853255014.38963</v>
      </c>
    </row>
    <row r="778" spans="2:21" ht="12.75">
      <c r="B778" s="1" t="s">
        <v>271</v>
      </c>
      <c r="U778" s="1">
        <v>23458777227.209133</v>
      </c>
    </row>
    <row r="779" spans="2:21" ht="12.75">
      <c r="B779" s="1" t="s">
        <v>272</v>
      </c>
      <c r="U779" s="1">
        <v>12677445356.086878</v>
      </c>
    </row>
    <row r="780" spans="2:21" ht="12.75">
      <c r="B780" s="1" t="s">
        <v>273</v>
      </c>
      <c r="U780" s="1">
        <v>21721075242.296715</v>
      </c>
    </row>
    <row r="781" spans="2:12" ht="12.75">
      <c r="B781" s="1" t="s">
        <v>67</v>
      </c>
      <c r="L781" s="1">
        <f>SUM(L776:N780)</f>
        <v>0</v>
      </c>
    </row>
    <row r="783" spans="1:2" ht="12.75">
      <c r="A783" s="1" t="s">
        <v>274</v>
      </c>
      <c r="B783" s="1" t="s">
        <v>275</v>
      </c>
    </row>
    <row r="785" spans="1:2" ht="12.75">
      <c r="A785" s="1" t="s">
        <v>276</v>
      </c>
      <c r="B785" s="1" t="s">
        <v>277</v>
      </c>
    </row>
    <row r="786" ht="12.75">
      <c r="L786" s="1" t="s">
        <v>278</v>
      </c>
    </row>
    <row r="793" spans="1:14" ht="12.75">
      <c r="A793" s="1" t="s">
        <v>279</v>
      </c>
      <c r="N793" s="1" t="s">
        <v>280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hangnv</cp:lastModifiedBy>
  <dcterms:created xsi:type="dcterms:W3CDTF">2007-07-31T02:18:22Z</dcterms:created>
  <dcterms:modified xsi:type="dcterms:W3CDTF">2007-07-31T02:18:22Z</dcterms:modified>
  <cp:category/>
  <cp:version/>
  <cp:contentType/>
  <cp:contentStatus/>
</cp:coreProperties>
</file>